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Новая папка (3)\"/>
    </mc:Choice>
  </mc:AlternateContent>
  <xr:revisionPtr revIDLastSave="0" documentId="13_ncr:1_{E67A78BE-6D2C-496B-931F-73AA44B1C583}" xr6:coauthVersionLast="41" xr6:coauthVersionMax="41" xr10:uidLastSave="{00000000-0000-0000-0000-000000000000}"/>
  <bookViews>
    <workbookView xWindow="3576" yWindow="1704" windowWidth="17280" windowHeight="10584" tabRatio="332" xr2:uid="{00000000-000D-0000-FFFF-FFFF00000000}"/>
  </bookViews>
  <sheets>
    <sheet name="Сметы с 01.01.2019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29" i="4" l="1"/>
  <c r="F340" i="4"/>
  <c r="F405" i="4"/>
  <c r="E404" i="4"/>
  <c r="F468" i="4"/>
  <c r="F533" i="4"/>
  <c r="E532" i="4"/>
  <c r="F598" i="4"/>
  <c r="E597" i="4" s="1"/>
  <c r="F663" i="4"/>
  <c r="E662" i="4"/>
  <c r="F728" i="4"/>
  <c r="E727" i="4" s="1"/>
  <c r="F793" i="4"/>
  <c r="E792" i="4" s="1"/>
  <c r="F858" i="4"/>
  <c r="E857" i="4" s="1"/>
  <c r="F923" i="4"/>
  <c r="E922" i="4" s="1"/>
  <c r="F988" i="4"/>
  <c r="F1053" i="4"/>
  <c r="E1052" i="4"/>
  <c r="F1119" i="4"/>
  <c r="E1118" i="4" s="1"/>
  <c r="F1184" i="4"/>
  <c r="F1249" i="4"/>
  <c r="F1314" i="4"/>
  <c r="E1313" i="4" s="1"/>
  <c r="F1379" i="4"/>
  <c r="E1378" i="4"/>
  <c r="F1444" i="4"/>
  <c r="E1443" i="4" s="1"/>
  <c r="F1509" i="4"/>
  <c r="E1508" i="4" s="1"/>
  <c r="F1574" i="4"/>
  <c r="E1573" i="4"/>
  <c r="F1639" i="4"/>
  <c r="E1638" i="4" s="1"/>
  <c r="F1704" i="4"/>
  <c r="E1703" i="4" s="1"/>
  <c r="F1769" i="4"/>
  <c r="E1768" i="4"/>
  <c r="F1834" i="4"/>
  <c r="E1833" i="4"/>
  <c r="F1899" i="4"/>
  <c r="E1898" i="4"/>
  <c r="F1964" i="4"/>
  <c r="F2029" i="4"/>
  <c r="E2028" i="4" s="1"/>
  <c r="F2094" i="4"/>
  <c r="E2093" i="4" s="1"/>
  <c r="F2159" i="4"/>
  <c r="F2224" i="4"/>
  <c r="E2223" i="4" s="1"/>
  <c r="F2289" i="4"/>
  <c r="F2354" i="4"/>
  <c r="E2353" i="4"/>
  <c r="F2419" i="4"/>
  <c r="E2418" i="4" s="1"/>
  <c r="F2484" i="4"/>
  <c r="E2483" i="4" s="1"/>
  <c r="F2549" i="4"/>
  <c r="F2614" i="4"/>
  <c r="E2613" i="4"/>
  <c r="F2679" i="4"/>
  <c r="F2744" i="4"/>
  <c r="E2743" i="4" s="1"/>
  <c r="F2809" i="4"/>
  <c r="F2874" i="4"/>
  <c r="E2873" i="4" s="1"/>
  <c r="F2939" i="4"/>
  <c r="E2938" i="4" s="1"/>
  <c r="F3004" i="4"/>
  <c r="F3069" i="4"/>
  <c r="E3068" i="4" s="1"/>
  <c r="F3134" i="4"/>
  <c r="E3133" i="4"/>
  <c r="F3199" i="4"/>
  <c r="E3198" i="4" s="1"/>
  <c r="F3264" i="4"/>
  <c r="F3394" i="4"/>
  <c r="E3393" i="4" s="1"/>
  <c r="F3459" i="4"/>
  <c r="E3458" i="4" s="1"/>
  <c r="F3524" i="4"/>
  <c r="E3523" i="4"/>
  <c r="F3589" i="4"/>
  <c r="E3588" i="4" s="1"/>
  <c r="F3654" i="4"/>
  <c r="E3653" i="4"/>
  <c r="F3719" i="4"/>
  <c r="E3718" i="4" s="1"/>
  <c r="F3784" i="4"/>
  <c r="E3783" i="4"/>
  <c r="F3849" i="4"/>
  <c r="E3848" i="4" s="1"/>
  <c r="F3914" i="4"/>
  <c r="F3979" i="4"/>
  <c r="E3978" i="4"/>
  <c r="F4044" i="4"/>
  <c r="F4108" i="4"/>
  <c r="F4173" i="4"/>
  <c r="E4172" i="4"/>
  <c r="F4238" i="4"/>
  <c r="E4237" i="4" s="1"/>
  <c r="F4303" i="4"/>
  <c r="E4302" i="4" s="1"/>
  <c r="F4368" i="4"/>
  <c r="F4433" i="4"/>
  <c r="E4432" i="4" s="1"/>
  <c r="F4498" i="4"/>
  <c r="E4497" i="4"/>
  <c r="F4563" i="4"/>
  <c r="E4562" i="4" s="1"/>
  <c r="F4628" i="4"/>
  <c r="F4693" i="4"/>
  <c r="E4692" i="4"/>
  <c r="F4758" i="4"/>
  <c r="E4757" i="4"/>
  <c r="E467" i="4"/>
  <c r="E987" i="4"/>
  <c r="E1963" i="4"/>
  <c r="E2678" i="4"/>
  <c r="E3328" i="4"/>
  <c r="E4742" i="4"/>
  <c r="E4676" i="4"/>
  <c r="C4676" i="4"/>
  <c r="E4612" i="4"/>
  <c r="E4607" i="4" s="1"/>
  <c r="E4546" i="4"/>
  <c r="E4542" i="4" s="1"/>
  <c r="E4482" i="4"/>
  <c r="C4482" i="4" s="1"/>
  <c r="E4416" i="4"/>
  <c r="E4351" i="4"/>
  <c r="E4287" i="4"/>
  <c r="E4282" i="4" s="1"/>
  <c r="E4222" i="4"/>
  <c r="C4222" i="4" s="1"/>
  <c r="E4156" i="4"/>
  <c r="E4152" i="4"/>
  <c r="C4156" i="4"/>
  <c r="E4091" i="4"/>
  <c r="E4087" i="4"/>
  <c r="E4027" i="4"/>
  <c r="E3962" i="4"/>
  <c r="C3962" i="4"/>
  <c r="E3898" i="4"/>
  <c r="E3832" i="4"/>
  <c r="C3832" i="4"/>
  <c r="E3768" i="4"/>
  <c r="C3768" i="4" s="1"/>
  <c r="E3702" i="4"/>
  <c r="E3637" i="4"/>
  <c r="E3633" i="4"/>
  <c r="E3573" i="4"/>
  <c r="C3573" i="4" s="1"/>
  <c r="E3508" i="4"/>
  <c r="C3508" i="4" s="1"/>
  <c r="E3442" i="4"/>
  <c r="C3442" i="4" s="1"/>
  <c r="E3377" i="4"/>
  <c r="E3373" i="4" s="1"/>
  <c r="C3377" i="4"/>
  <c r="E3313" i="4"/>
  <c r="E3248" i="4"/>
  <c r="E3183" i="4"/>
  <c r="C3183" i="4" s="1"/>
  <c r="E3117" i="4"/>
  <c r="C3117" i="4" s="1"/>
  <c r="E3052" i="4"/>
  <c r="E2987" i="4"/>
  <c r="C2987" i="4"/>
  <c r="E2922" i="4"/>
  <c r="C2922" i="4"/>
  <c r="E2858" i="4"/>
  <c r="E2792" i="4"/>
  <c r="C2792" i="4" s="1"/>
  <c r="E2727" i="4"/>
  <c r="E2723" i="4" s="1"/>
  <c r="E2662" i="4"/>
  <c r="E2658" i="4"/>
  <c r="E2598" i="4"/>
  <c r="E2532" i="4"/>
  <c r="C2532" i="4" s="1"/>
  <c r="E2467" i="4"/>
  <c r="C2467" i="4" s="1"/>
  <c r="E2402" i="4"/>
  <c r="E2398" i="4"/>
  <c r="E2337" i="4"/>
  <c r="E2333" i="4" s="1"/>
  <c r="E2272" i="4"/>
  <c r="E2268" i="4" s="1"/>
  <c r="E2207" i="4"/>
  <c r="C2207" i="4" s="1"/>
  <c r="E2142" i="4"/>
  <c r="E2138" i="4"/>
  <c r="E2078" i="4"/>
  <c r="C2078" i="4" s="1"/>
  <c r="E2013" i="4"/>
  <c r="C2013" i="4" s="1"/>
  <c r="E1948" i="4"/>
  <c r="C1948" i="4" s="1"/>
  <c r="E1883" i="4"/>
  <c r="E1818" i="4"/>
  <c r="C1818" i="4" s="1"/>
  <c r="E1753" i="4"/>
  <c r="E1688" i="4"/>
  <c r="C1688" i="4"/>
  <c r="E1622" i="4"/>
  <c r="C1622" i="4"/>
  <c r="E1557" i="4"/>
  <c r="E1493" i="4"/>
  <c r="C1493" i="4" s="1"/>
  <c r="E1428" i="4"/>
  <c r="E1363" i="4"/>
  <c r="E1297" i="4"/>
  <c r="E1233" i="4"/>
  <c r="C1233" i="4"/>
  <c r="E1167" i="4"/>
  <c r="C1167" i="4" s="1"/>
  <c r="E1102" i="4"/>
  <c r="E1098" i="4" s="1"/>
  <c r="E1036" i="4"/>
  <c r="C1036" i="4" s="1"/>
  <c r="E971" i="4"/>
  <c r="C971" i="4" s="1"/>
  <c r="E906" i="4"/>
  <c r="C906" i="4"/>
  <c r="E842" i="4"/>
  <c r="C842" i="4" s="1"/>
  <c r="E776" i="4"/>
  <c r="E772" i="4" s="1"/>
  <c r="E711" i="4"/>
  <c r="C711" i="4" s="1"/>
  <c r="E646" i="4"/>
  <c r="E642" i="4"/>
  <c r="E581" i="4"/>
  <c r="C581" i="4" s="1"/>
  <c r="E516" i="4"/>
  <c r="E512" i="4" s="1"/>
  <c r="E451" i="4"/>
  <c r="E447" i="4" s="1"/>
  <c r="E388" i="4"/>
  <c r="E384" i="4"/>
  <c r="E323" i="4"/>
  <c r="C323" i="4" s="1"/>
  <c r="E1947" i="4"/>
  <c r="C1947" i="4" s="1"/>
  <c r="E4741" i="4"/>
  <c r="E4481" i="4"/>
  <c r="E4417" i="4"/>
  <c r="C4408" i="4"/>
  <c r="E4408" i="4" s="1"/>
  <c r="E4352" i="4"/>
  <c r="C4352" i="4" s="1"/>
  <c r="E4221" i="4"/>
  <c r="E3963" i="4"/>
  <c r="E3958" i="4"/>
  <c r="C3954" i="4"/>
  <c r="E3954" i="4" s="1"/>
  <c r="E3956" i="4"/>
  <c r="E3897" i="4"/>
  <c r="E3893" i="4" s="1"/>
  <c r="E3833" i="4"/>
  <c r="C3833" i="4" s="1"/>
  <c r="E3767" i="4"/>
  <c r="C3767" i="4"/>
  <c r="C3694" i="4"/>
  <c r="E3694" i="4" s="1"/>
  <c r="E3696" i="4"/>
  <c r="E3572" i="4"/>
  <c r="E3507" i="4"/>
  <c r="E3312" i="4"/>
  <c r="C3312" i="4" s="1"/>
  <c r="E3247" i="4"/>
  <c r="C3247" i="4" s="1"/>
  <c r="E3182" i="4"/>
  <c r="C3182" i="4" s="1"/>
  <c r="E3118" i="4"/>
  <c r="C3118" i="4" s="1"/>
  <c r="E3003" i="4"/>
  <c r="E2857" i="4"/>
  <c r="C2857" i="4" s="1"/>
  <c r="E2597" i="4"/>
  <c r="E2593" i="4" s="1"/>
  <c r="C2329" i="4"/>
  <c r="C2272" i="4"/>
  <c r="E2077" i="4"/>
  <c r="C2077" i="4" s="1"/>
  <c r="E2012" i="4"/>
  <c r="C2012" i="4" s="1"/>
  <c r="E1882" i="4"/>
  <c r="E1817" i="4"/>
  <c r="E1813" i="4"/>
  <c r="E1752" i="4"/>
  <c r="E1687" i="4"/>
  <c r="C1687" i="4" s="1"/>
  <c r="E1623" i="4"/>
  <c r="C1623" i="4" s="1"/>
  <c r="C1549" i="4"/>
  <c r="E1549" i="4"/>
  <c r="E1552" i="4" s="1"/>
  <c r="E1492" i="4"/>
  <c r="C1492" i="4"/>
  <c r="E1427" i="4"/>
  <c r="E1423" i="4" s="1"/>
  <c r="E1362" i="4"/>
  <c r="C1362" i="4"/>
  <c r="E1298" i="4"/>
  <c r="C1298" i="4" s="1"/>
  <c r="E1232" i="4"/>
  <c r="E1228" i="4"/>
  <c r="E972" i="4"/>
  <c r="C972" i="4" s="1"/>
  <c r="E898" i="4"/>
  <c r="D899" i="4"/>
  <c r="E899" i="4"/>
  <c r="E841" i="4"/>
  <c r="C841" i="4" s="1"/>
  <c r="E703" i="4"/>
  <c r="D704" i="4" s="1"/>
  <c r="E704" i="4"/>
  <c r="E582" i="4"/>
  <c r="C582" i="4"/>
  <c r="C388" i="4"/>
  <c r="D4169" i="4"/>
  <c r="D3520" i="4"/>
  <c r="C465" i="4"/>
  <c r="E2481" i="4"/>
  <c r="E2471" i="4" s="1"/>
  <c r="E2416" i="4"/>
  <c r="E2406" i="4"/>
  <c r="D2416" i="4"/>
  <c r="E530" i="4"/>
  <c r="E3586" i="4"/>
  <c r="D3586" i="4"/>
  <c r="E4755" i="4"/>
  <c r="E4560" i="4"/>
  <c r="D4560" i="4"/>
  <c r="E920" i="4"/>
  <c r="D920" i="4" s="1"/>
  <c r="E1441" i="4"/>
  <c r="E1431" i="4"/>
  <c r="E3131" i="4"/>
  <c r="E3121" i="4" s="1"/>
  <c r="E855" i="4"/>
  <c r="D855" i="4"/>
  <c r="E725" i="4"/>
  <c r="E715" i="4" s="1"/>
  <c r="E4430" i="4"/>
  <c r="D4430" i="4"/>
  <c r="E595" i="4"/>
  <c r="E585" i="4" s="1"/>
  <c r="E1050" i="4"/>
  <c r="E1040" i="4"/>
  <c r="D1050" i="4"/>
  <c r="E3911" i="4"/>
  <c r="D3911" i="4" s="1"/>
  <c r="E2611" i="4"/>
  <c r="D2611" i="4" s="1"/>
  <c r="E4365" i="4"/>
  <c r="E1116" i="4"/>
  <c r="E1106" i="4"/>
  <c r="E660" i="4"/>
  <c r="E1701" i="4"/>
  <c r="E4300" i="4"/>
  <c r="D4300" i="4"/>
  <c r="E2286" i="4"/>
  <c r="E1896" i="4"/>
  <c r="E337" i="4"/>
  <c r="E327" i="4"/>
  <c r="E3651" i="4"/>
  <c r="E4625" i="4"/>
  <c r="D4625" i="4" s="1"/>
  <c r="E1376" i="4"/>
  <c r="E2091" i="4"/>
  <c r="D2091" i="4" s="1"/>
  <c r="E2871" i="4"/>
  <c r="D2871" i="4"/>
  <c r="E2741" i="4"/>
  <c r="E1181" i="4"/>
  <c r="D1181" i="4" s="1"/>
  <c r="E2676" i="4"/>
  <c r="E1961" i="4"/>
  <c r="D1961" i="4"/>
  <c r="E1766" i="4"/>
  <c r="E1756" i="4"/>
  <c r="E2936" i="4"/>
  <c r="E1506" i="4"/>
  <c r="E1496" i="4" s="1"/>
  <c r="E465" i="4"/>
  <c r="E455" i="4"/>
  <c r="E402" i="4"/>
  <c r="E392" i="4" s="1"/>
  <c r="E4105" i="4"/>
  <c r="D4105" i="4" s="1"/>
  <c r="E3001" i="4"/>
  <c r="E2991" i="4" s="1"/>
  <c r="E1311" i="4"/>
  <c r="D1311" i="4" s="1"/>
  <c r="E1301" i="4"/>
  <c r="E2351" i="4"/>
  <c r="D2351" i="4"/>
  <c r="E1636" i="4"/>
  <c r="D1636" i="4" s="1"/>
  <c r="E3781" i="4"/>
  <c r="E3771" i="4"/>
  <c r="E3326" i="4"/>
  <c r="D3326" i="4" s="1"/>
  <c r="E3846" i="4"/>
  <c r="E3836" i="4"/>
  <c r="E3196" i="4"/>
  <c r="E4170" i="4"/>
  <c r="D4170" i="4" s="1"/>
  <c r="E3391" i="4"/>
  <c r="D3391" i="4" s="1"/>
  <c r="E4690" i="4"/>
  <c r="E2026" i="4"/>
  <c r="E2016" i="4" s="1"/>
  <c r="E4041" i="4"/>
  <c r="E4031" i="4"/>
  <c r="D4041" i="4"/>
  <c r="E2221" i="4"/>
  <c r="E985" i="4"/>
  <c r="E975" i="4"/>
  <c r="E1571" i="4"/>
  <c r="D1571" i="4" s="1"/>
  <c r="E3976" i="4"/>
  <c r="D3976" i="4"/>
  <c r="E2806" i="4"/>
  <c r="E2796" i="4" s="1"/>
  <c r="E1246" i="4"/>
  <c r="E1236" i="4"/>
  <c r="E3521" i="4"/>
  <c r="D3521" i="4" s="1"/>
  <c r="E4495" i="4"/>
  <c r="D4495" i="4"/>
  <c r="E790" i="4"/>
  <c r="E780" i="4" s="1"/>
  <c r="E3066" i="4"/>
  <c r="D3066" i="4"/>
  <c r="E1831" i="4"/>
  <c r="D1831" i="4" s="1"/>
  <c r="E3716" i="4"/>
  <c r="E3706" i="4"/>
  <c r="E3456" i="4"/>
  <c r="E3446" i="4" s="1"/>
  <c r="E2546" i="4"/>
  <c r="D2546" i="4"/>
  <c r="E4235" i="4"/>
  <c r="E4225" i="4" s="1"/>
  <c r="E2156" i="4"/>
  <c r="D2156" i="4"/>
  <c r="E3261" i="4"/>
  <c r="D3261" i="4" s="1"/>
  <c r="D4032" i="4"/>
  <c r="D3642" i="4"/>
  <c r="D3577" i="4"/>
  <c r="D3252" i="4"/>
  <c r="D3057" i="4"/>
  <c r="D2992" i="4"/>
  <c r="D2602" i="4"/>
  <c r="D2147" i="4"/>
  <c r="D1497" i="4"/>
  <c r="D1041" i="4"/>
  <c r="E845" i="4"/>
  <c r="D716" i="4"/>
  <c r="D456" i="4"/>
  <c r="D393" i="4"/>
  <c r="D328" i="4"/>
  <c r="D334" i="4"/>
  <c r="D1114" i="4"/>
  <c r="E4627" i="4"/>
  <c r="E4107" i="4"/>
  <c r="E3913" i="4"/>
  <c r="E3263" i="4"/>
  <c r="E2288" i="4"/>
  <c r="E2158" i="4"/>
  <c r="D839" i="4"/>
  <c r="E339" i="4"/>
  <c r="C4611" i="4"/>
  <c r="E1744" i="4"/>
  <c r="E1746" i="4" s="1"/>
  <c r="E4733" i="4"/>
  <c r="C4547" i="4"/>
  <c r="C4286" i="4"/>
  <c r="C3897" i="4"/>
  <c r="C3638" i="4"/>
  <c r="C3378" i="4"/>
  <c r="C3248" i="4"/>
  <c r="C3053" i="4"/>
  <c r="E2979" i="4"/>
  <c r="E2981" i="4" s="1"/>
  <c r="C2793" i="4"/>
  <c r="C2728" i="4"/>
  <c r="C2663" i="4"/>
  <c r="C2533" i="4"/>
  <c r="C2468" i="4"/>
  <c r="C2338" i="4"/>
  <c r="C2143" i="4"/>
  <c r="E2069" i="4"/>
  <c r="E2072" i="4"/>
  <c r="C1817" i="4"/>
  <c r="C1297" i="4"/>
  <c r="C1168" i="4"/>
  <c r="C1103" i="4"/>
  <c r="C907" i="4"/>
  <c r="C647" i="4"/>
  <c r="E443" i="4"/>
  <c r="E445" i="4"/>
  <c r="D3837" i="4"/>
  <c r="D3772" i="4"/>
  <c r="D3317" i="4"/>
  <c r="D3122" i="4"/>
  <c r="D2667" i="4"/>
  <c r="D2407" i="4"/>
  <c r="D2277" i="4"/>
  <c r="D2017" i="4"/>
  <c r="D1627" i="4"/>
  <c r="D1302" i="4"/>
  <c r="D1172" i="4"/>
  <c r="D976" i="4"/>
  <c r="D651" i="4"/>
  <c r="D586" i="4"/>
  <c r="D2151" i="4"/>
  <c r="E380" i="4"/>
  <c r="E768" i="4"/>
  <c r="E1094" i="4"/>
  <c r="D1095" i="4"/>
  <c r="E1095" i="4"/>
  <c r="E1159" i="4"/>
  <c r="E1162" i="4" s="1"/>
  <c r="E1614" i="4"/>
  <c r="E3044" i="4"/>
  <c r="E3046" i="4"/>
  <c r="E3499" i="4"/>
  <c r="E3501" i="4"/>
  <c r="E3759" i="4"/>
  <c r="E4473" i="4"/>
  <c r="D4474" i="4" s="1"/>
  <c r="E4474" i="4" s="1"/>
  <c r="E4538" i="4"/>
  <c r="E4603" i="4"/>
  <c r="E4606" i="4"/>
  <c r="E4668" i="4"/>
  <c r="E4671" i="4"/>
  <c r="E956" i="4"/>
  <c r="E960" i="4"/>
  <c r="E1087" i="4"/>
  <c r="D1089" i="4"/>
  <c r="E1089" i="4" s="1"/>
  <c r="E1088" i="4"/>
  <c r="E1092" i="4" s="1"/>
  <c r="E2719" i="4"/>
  <c r="E2722" i="4"/>
  <c r="E1874" i="4"/>
  <c r="E1876" i="4" s="1"/>
  <c r="C4092" i="4"/>
  <c r="E1028" i="4"/>
  <c r="E1031" i="4"/>
  <c r="E4278" i="4"/>
  <c r="E4281" i="4"/>
  <c r="D3514" i="4"/>
  <c r="D2994" i="4"/>
  <c r="D2864" i="4"/>
  <c r="E2199" i="4"/>
  <c r="E2134" i="4"/>
  <c r="D2135" i="4"/>
  <c r="E2135" i="4" s="1"/>
  <c r="D1369" i="4"/>
  <c r="D1499" i="4"/>
  <c r="E1419" i="4"/>
  <c r="E1421" i="4"/>
  <c r="E1354" i="4"/>
  <c r="E963" i="4"/>
  <c r="E966" i="4" s="1"/>
  <c r="D4748" i="4"/>
  <c r="D4739" i="4"/>
  <c r="D4738" i="4"/>
  <c r="D4683" i="4"/>
  <c r="D4673" i="4"/>
  <c r="D4609" i="4"/>
  <c r="D4608" i="4"/>
  <c r="D4544" i="4"/>
  <c r="D4543" i="4"/>
  <c r="D4479" i="4"/>
  <c r="D4478" i="4"/>
  <c r="D4414" i="4"/>
  <c r="D4413" i="4"/>
  <c r="D4358" i="4"/>
  <c r="D4349" i="4"/>
  <c r="D4348" i="4"/>
  <c r="D4284" i="4"/>
  <c r="D4283" i="4"/>
  <c r="D4219" i="4"/>
  <c r="D4218" i="4"/>
  <c r="D4163" i="4"/>
  <c r="D4154" i="4"/>
  <c r="D4153" i="4"/>
  <c r="D4098" i="4"/>
  <c r="D4089" i="4"/>
  <c r="D4088" i="4"/>
  <c r="D4034" i="4"/>
  <c r="D4025" i="4"/>
  <c r="D3969" i="4"/>
  <c r="D3960" i="4"/>
  <c r="D3959" i="4"/>
  <c r="D3904" i="4"/>
  <c r="D3895" i="4"/>
  <c r="D3839" i="4"/>
  <c r="D3830" i="4"/>
  <c r="D3829" i="4"/>
  <c r="D3765" i="4"/>
  <c r="D3764" i="4"/>
  <c r="D3700" i="4"/>
  <c r="D3699" i="4"/>
  <c r="D3634" i="4"/>
  <c r="D3570" i="4"/>
  <c r="D3569" i="4"/>
  <c r="D3505" i="4"/>
  <c r="D3504" i="4"/>
  <c r="D3440" i="4"/>
  <c r="D3439" i="4"/>
  <c r="D3375" i="4"/>
  <c r="D3310" i="4"/>
  <c r="D3245" i="4"/>
  <c r="D3180" i="4"/>
  <c r="D3179" i="4"/>
  <c r="D3115" i="4"/>
  <c r="D3114" i="4"/>
  <c r="D3050" i="4"/>
  <c r="D3049" i="4"/>
  <c r="D2985" i="4"/>
  <c r="D2984" i="4"/>
  <c r="D2920" i="4"/>
  <c r="D2855" i="4"/>
  <c r="D2790" i="4"/>
  <c r="D2725" i="4"/>
  <c r="D2724" i="4"/>
  <c r="D2660" i="4"/>
  <c r="D2604" i="4"/>
  <c r="D2595" i="4"/>
  <c r="D2594" i="4"/>
  <c r="D2530" i="4"/>
  <c r="D2529" i="4"/>
  <c r="D2474" i="4"/>
  <c r="D2465" i="4"/>
  <c r="D2464" i="4"/>
  <c r="D2400" i="4"/>
  <c r="D2399" i="4"/>
  <c r="D2335" i="4"/>
  <c r="D2334" i="4"/>
  <c r="D2270" i="4"/>
  <c r="D2205" i="4"/>
  <c r="D2204" i="4"/>
  <c r="D2140" i="4"/>
  <c r="D2139" i="4"/>
  <c r="D2075" i="4"/>
  <c r="D2010" i="4"/>
  <c r="D2009" i="4"/>
  <c r="D1954" i="4"/>
  <c r="D1945" i="4"/>
  <c r="D1944" i="4"/>
  <c r="D1880" i="4"/>
  <c r="D1879" i="4"/>
  <c r="D1815" i="4"/>
  <c r="D1814" i="4"/>
  <c r="D1750" i="4"/>
  <c r="D1749" i="4"/>
  <c r="D1694" i="4"/>
  <c r="D1685" i="4"/>
  <c r="D1629" i="4"/>
  <c r="D1620" i="4"/>
  <c r="D1555" i="4"/>
  <c r="D1489" i="4"/>
  <c r="D1294" i="4"/>
  <c r="D1359" i="4"/>
  <c r="D1424" i="4"/>
  <c r="D1490" i="4"/>
  <c r="D1425" i="4"/>
  <c r="D1360" i="4"/>
  <c r="D1295" i="4"/>
  <c r="D1230" i="4"/>
  <c r="D1174" i="4"/>
  <c r="D1165" i="4"/>
  <c r="D1164" i="4"/>
  <c r="D1109" i="4"/>
  <c r="D1100" i="4"/>
  <c r="D1099" i="4"/>
  <c r="D1043" i="4"/>
  <c r="D1034" i="4"/>
  <c r="D978" i="4"/>
  <c r="D969" i="4"/>
  <c r="D968" i="4"/>
  <c r="D904" i="4"/>
  <c r="D774" i="4"/>
  <c r="D718" i="4"/>
  <c r="D709" i="4"/>
  <c r="D708" i="4"/>
  <c r="D653" i="4"/>
  <c r="D644" i="4"/>
  <c r="D643" i="4"/>
  <c r="D588" i="4"/>
  <c r="D579" i="4"/>
  <c r="D523" i="4"/>
  <c r="D514" i="4"/>
  <c r="D458" i="4"/>
  <c r="D449" i="4"/>
  <c r="D395" i="4"/>
  <c r="C389" i="4"/>
  <c r="D386" i="4"/>
  <c r="D330" i="4"/>
  <c r="D325" i="4"/>
  <c r="D321" i="4"/>
  <c r="D977" i="4"/>
  <c r="D522" i="4"/>
  <c r="D4162" i="4"/>
  <c r="D652" i="4"/>
  <c r="D457" i="4"/>
  <c r="D3513" i="4"/>
  <c r="D394" i="4"/>
  <c r="D1042" i="4"/>
  <c r="D1693" i="4"/>
  <c r="D587" i="4"/>
  <c r="D329" i="4"/>
  <c r="D4744" i="4"/>
  <c r="D4679" i="4"/>
  <c r="D4549" i="4"/>
  <c r="D4484" i="4"/>
  <c r="D4419" i="4"/>
  <c r="D4354" i="4"/>
  <c r="D4289" i="4"/>
  <c r="D4224" i="4"/>
  <c r="D4159" i="4"/>
  <c r="D4094" i="4"/>
  <c r="D4030" i="4"/>
  <c r="D3965" i="4"/>
  <c r="D3900" i="4"/>
  <c r="D3835" i="4"/>
  <c r="D3770" i="4"/>
  <c r="D3705" i="4"/>
  <c r="D3640" i="4"/>
  <c r="D3575" i="4"/>
  <c r="D3510" i="4"/>
  <c r="D3445" i="4"/>
  <c r="D3380" i="4"/>
  <c r="D3315" i="4"/>
  <c r="D3250" i="4"/>
  <c r="D3185" i="4"/>
  <c r="D3120" i="4"/>
  <c r="D3055" i="4"/>
  <c r="D2795" i="4"/>
  <c r="D2730" i="4"/>
  <c r="D2665" i="4"/>
  <c r="D2600" i="4"/>
  <c r="D2535" i="4"/>
  <c r="D2470" i="4"/>
  <c r="D2405" i="4"/>
  <c r="D2340" i="4"/>
  <c r="D2275" i="4"/>
  <c r="D2210" i="4"/>
  <c r="D2145" i="4"/>
  <c r="D2080" i="4"/>
  <c r="D2015" i="4"/>
  <c r="D1950" i="4"/>
  <c r="D1820" i="4"/>
  <c r="D1560" i="4"/>
  <c r="D1495" i="4"/>
  <c r="D1430" i="4"/>
  <c r="D1365" i="4"/>
  <c r="D1300" i="4"/>
  <c r="D1235" i="4"/>
  <c r="D1170" i="4"/>
  <c r="D1105" i="4"/>
  <c r="D1039" i="4"/>
  <c r="D974" i="4"/>
  <c r="D909" i="4"/>
  <c r="D844" i="4"/>
  <c r="D779" i="4"/>
  <c r="D714" i="4"/>
  <c r="D649" i="4"/>
  <c r="D584" i="4"/>
  <c r="D519" i="4"/>
  <c r="D454" i="4"/>
  <c r="D326" i="4"/>
  <c r="D4743" i="4"/>
  <c r="D4678" i="4"/>
  <c r="D4613" i="4"/>
  <c r="D4548" i="4"/>
  <c r="D4483" i="4"/>
  <c r="D4418" i="4"/>
  <c r="D4353" i="4"/>
  <c r="D4288" i="4"/>
  <c r="D4223" i="4"/>
  <c r="D4158" i="4"/>
  <c r="D4093" i="4"/>
  <c r="D4029" i="4"/>
  <c r="D3964" i="4"/>
  <c r="D3899" i="4"/>
  <c r="D3834" i="4"/>
  <c r="D3769" i="4"/>
  <c r="D3704" i="4"/>
  <c r="D3639" i="4"/>
  <c r="D3574" i="4"/>
  <c r="D3509" i="4"/>
  <c r="D3444" i="4"/>
  <c r="D3379" i="4"/>
  <c r="D3314" i="4"/>
  <c r="D3249" i="4"/>
  <c r="D3184" i="4"/>
  <c r="D3119" i="4"/>
  <c r="D3054" i="4"/>
  <c r="D2989" i="4"/>
  <c r="D2924" i="4"/>
  <c r="D2859" i="4"/>
  <c r="D2794" i="4"/>
  <c r="D2729" i="4"/>
  <c r="D2664" i="4"/>
  <c r="D2599" i="4"/>
  <c r="D2534" i="4"/>
  <c r="D2469" i="4"/>
  <c r="D2404" i="4"/>
  <c r="D2339" i="4"/>
  <c r="D2274" i="4"/>
  <c r="D2209" i="4"/>
  <c r="D2144" i="4"/>
  <c r="D2079" i="4"/>
  <c r="D2014" i="4"/>
  <c r="D1949" i="4"/>
  <c r="D1884" i="4"/>
  <c r="D1819" i="4"/>
  <c r="D1754" i="4"/>
  <c r="D1689" i="4"/>
  <c r="D1624" i="4"/>
  <c r="D1559" i="4"/>
  <c r="D1494" i="4"/>
  <c r="D1429" i="4"/>
  <c r="D1364" i="4"/>
  <c r="D1299" i="4"/>
  <c r="D1234" i="4"/>
  <c r="D1169" i="4"/>
  <c r="D1104" i="4"/>
  <c r="D1038" i="4"/>
  <c r="D973" i="4"/>
  <c r="D908" i="4"/>
  <c r="D843" i="4"/>
  <c r="D778" i="4"/>
  <c r="D713" i="4"/>
  <c r="D648" i="4"/>
  <c r="D583" i="4"/>
  <c r="D518" i="4"/>
  <c r="D453" i="4"/>
  <c r="D390" i="4"/>
  <c r="D2466" i="4"/>
  <c r="D2141" i="4"/>
  <c r="E308" i="4"/>
  <c r="E309" i="4"/>
  <c r="D311" i="4" s="1"/>
  <c r="E311" i="4" s="1"/>
  <c r="E315" i="4"/>
  <c r="E318" i="4"/>
  <c r="E373" i="4"/>
  <c r="E374" i="4"/>
  <c r="E436" i="4"/>
  <c r="E440" i="4"/>
  <c r="E437" i="4"/>
  <c r="E441" i="4"/>
  <c r="E502" i="4"/>
  <c r="D504" i="4"/>
  <c r="E504" i="4" s="1"/>
  <c r="E501" i="4"/>
  <c r="D503" i="4" s="1"/>
  <c r="E503" i="4" s="1"/>
  <c r="E508" i="4"/>
  <c r="E567" i="4"/>
  <c r="E566" i="4"/>
  <c r="D568" i="4"/>
  <c r="E568" i="4"/>
  <c r="E573" i="4"/>
  <c r="E576" i="4" s="1"/>
  <c r="E632" i="4"/>
  <c r="E636" i="4" s="1"/>
  <c r="E631" i="4"/>
  <c r="D633" i="4" s="1"/>
  <c r="E633" i="4" s="1"/>
  <c r="E696" i="4"/>
  <c r="D698" i="4" s="1"/>
  <c r="E698" i="4" s="1"/>
  <c r="E697" i="4"/>
  <c r="E701" i="4" s="1"/>
  <c r="E762" i="4"/>
  <c r="E761" i="4"/>
  <c r="D763" i="4"/>
  <c r="E827" i="4"/>
  <c r="D829" i="4"/>
  <c r="E829" i="4" s="1"/>
  <c r="E826" i="4"/>
  <c r="D828" i="4"/>
  <c r="E828" i="4" s="1"/>
  <c r="E833" i="4"/>
  <c r="E836" i="4"/>
  <c r="E892" i="4"/>
  <c r="E896" i="4" s="1"/>
  <c r="E891" i="4"/>
  <c r="E957" i="4"/>
  <c r="E961" i="4"/>
  <c r="E1022" i="4"/>
  <c r="E1021" i="4"/>
  <c r="E1025" i="4"/>
  <c r="E1152" i="4"/>
  <c r="E1153" i="4"/>
  <c r="E1157" i="4" s="1"/>
  <c r="E1218" i="4"/>
  <c r="D1220" i="4" s="1"/>
  <c r="E1220" i="4"/>
  <c r="E1217" i="4"/>
  <c r="D1219" i="4"/>
  <c r="E1219" i="4" s="1"/>
  <c r="E1224" i="4"/>
  <c r="E1282" i="4"/>
  <c r="E1286" i="4"/>
  <c r="E1283" i="4"/>
  <c r="E1287" i="4"/>
  <c r="E1289" i="4"/>
  <c r="E1292" i="4"/>
  <c r="E1348" i="4"/>
  <c r="E1352" i="4"/>
  <c r="E1347" i="4"/>
  <c r="E1351" i="4"/>
  <c r="E1413" i="4"/>
  <c r="D1415" i="4"/>
  <c r="E1415" i="4" s="1"/>
  <c r="E1412" i="4"/>
  <c r="E1484" i="4"/>
  <c r="E1477" i="4"/>
  <c r="E1481" i="4" s="1"/>
  <c r="E1478" i="4"/>
  <c r="E1482" i="4" s="1"/>
  <c r="E1543" i="4"/>
  <c r="E1542" i="4"/>
  <c r="D1544" i="4"/>
  <c r="E1544" i="4" s="1"/>
  <c r="E1608" i="4"/>
  <c r="E1612" i="4" s="1"/>
  <c r="E1607" i="4"/>
  <c r="E1673" i="4"/>
  <c r="D1675" i="4" s="1"/>
  <c r="E1675" i="4" s="1"/>
  <c r="E1672" i="4"/>
  <c r="D1674" i="4" s="1"/>
  <c r="E1674" i="4" s="1"/>
  <c r="E1679" i="4"/>
  <c r="E1738" i="4"/>
  <c r="E1742" i="4" s="1"/>
  <c r="E1737" i="4"/>
  <c r="E1803" i="4"/>
  <c r="E1802" i="4"/>
  <c r="E1806" i="4" s="1"/>
  <c r="E1809" i="4"/>
  <c r="E1811" i="4" s="1"/>
  <c r="E1868" i="4"/>
  <c r="E1872" i="4"/>
  <c r="E1867" i="4"/>
  <c r="D1869" i="4" s="1"/>
  <c r="E1869" i="4"/>
  <c r="E1933" i="4"/>
  <c r="E1937" i="4"/>
  <c r="E1932" i="4"/>
  <c r="E1936" i="4"/>
  <c r="E1939" i="4"/>
  <c r="D1940" i="4"/>
  <c r="E1940" i="4" s="1"/>
  <c r="E1997" i="4"/>
  <c r="E1998" i="4"/>
  <c r="D2000" i="4" s="1"/>
  <c r="E2000" i="4"/>
  <c r="E2004" i="4"/>
  <c r="E2007" i="4"/>
  <c r="E2062" i="4"/>
  <c r="E2066" i="4"/>
  <c r="E2063" i="4"/>
  <c r="E2128" i="4"/>
  <c r="D2130" i="4" s="1"/>
  <c r="E2130" i="4"/>
  <c r="E2127" i="4"/>
  <c r="E2131" i="4"/>
  <c r="E2192" i="4"/>
  <c r="E2196" i="4"/>
  <c r="E2193" i="4"/>
  <c r="D2195" i="4"/>
  <c r="E2195" i="4" s="1"/>
  <c r="E2258" i="4"/>
  <c r="D2260" i="4" s="1"/>
  <c r="E2257" i="4"/>
  <c r="D2259" i="4" s="1"/>
  <c r="E2264" i="4"/>
  <c r="E2266" i="4" s="1"/>
  <c r="E2323" i="4"/>
  <c r="E2327" i="4" s="1"/>
  <c r="E2322" i="4"/>
  <c r="E2326" i="4" s="1"/>
  <c r="E2387" i="4"/>
  <c r="D2389" i="4" s="1"/>
  <c r="E2389" i="4" s="1"/>
  <c r="E2388" i="4"/>
  <c r="D2390" i="4"/>
  <c r="E2390" i="4" s="1"/>
  <c r="E2394" i="4"/>
  <c r="E2453" i="4"/>
  <c r="E2457" i="4"/>
  <c r="E2452" i="4"/>
  <c r="D2454" i="4"/>
  <c r="E2454" i="4" s="1"/>
  <c r="E2459" i="4"/>
  <c r="E2518" i="4"/>
  <c r="E2517" i="4"/>
  <c r="E2524" i="4"/>
  <c r="D2525" i="4"/>
  <c r="E2525" i="4" s="1"/>
  <c r="E2583" i="4"/>
  <c r="E2587" i="4" s="1"/>
  <c r="E2582" i="4"/>
  <c r="D2584" i="4" s="1"/>
  <c r="E2584" i="4"/>
  <c r="E2589" i="4"/>
  <c r="E2592" i="4"/>
  <c r="E2648" i="4"/>
  <c r="D2650" i="4"/>
  <c r="E2650" i="4" s="1"/>
  <c r="E2647" i="4"/>
  <c r="D2649" i="4" s="1"/>
  <c r="E2649" i="4" s="1"/>
  <c r="E2654" i="4"/>
  <c r="D2655" i="4"/>
  <c r="E2655" i="4" s="1"/>
  <c r="E2713" i="4"/>
  <c r="D2715" i="4" s="1"/>
  <c r="E2715" i="4" s="1"/>
  <c r="E2712" i="4"/>
  <c r="E2716" i="4"/>
  <c r="E2778" i="4"/>
  <c r="D2780" i="4"/>
  <c r="E2777" i="4"/>
  <c r="E2784" i="4"/>
  <c r="D2785" i="4" s="1"/>
  <c r="E2785" i="4" s="1"/>
  <c r="E2843" i="4"/>
  <c r="E2847" i="4"/>
  <c r="E2842" i="4"/>
  <c r="E2846" i="4"/>
  <c r="E2849" i="4"/>
  <c r="E2908" i="4"/>
  <c r="E2912" i="4" s="1"/>
  <c r="E2907" i="4"/>
  <c r="E2914" i="4"/>
  <c r="D2915" i="4" s="1"/>
  <c r="E2915" i="4" s="1"/>
  <c r="E2917" i="4"/>
  <c r="E2973" i="4"/>
  <c r="E2977" i="4" s="1"/>
  <c r="E2972" i="4"/>
  <c r="D2974" i="4" s="1"/>
  <c r="E2974" i="4"/>
  <c r="E3038" i="4"/>
  <c r="E3042" i="4"/>
  <c r="E3037" i="4"/>
  <c r="E3041" i="4"/>
  <c r="E3103" i="4"/>
  <c r="D3105" i="4"/>
  <c r="E3105" i="4" s="1"/>
  <c r="E3102" i="4"/>
  <c r="E3106" i="4" s="1"/>
  <c r="E3109" i="4"/>
  <c r="E3112" i="4" s="1"/>
  <c r="E3168" i="4"/>
  <c r="D3170" i="4" s="1"/>
  <c r="E3170" i="4" s="1"/>
  <c r="E3167" i="4"/>
  <c r="E3171" i="4"/>
  <c r="E3174" i="4"/>
  <c r="E3233" i="4"/>
  <c r="D3235" i="4" s="1"/>
  <c r="E3235" i="4"/>
  <c r="E3232" i="4"/>
  <c r="E3239" i="4"/>
  <c r="D3240" i="4" s="1"/>
  <c r="E3240" i="4" s="1"/>
  <c r="E3298" i="4"/>
  <c r="E3297" i="4"/>
  <c r="D3299" i="4"/>
  <c r="E3299" i="4" s="1"/>
  <c r="E3304" i="4"/>
  <c r="E3363" i="4"/>
  <c r="E3362" i="4"/>
  <c r="E3369" i="4"/>
  <c r="E3428" i="4"/>
  <c r="D3430" i="4" s="1"/>
  <c r="E3430" i="4"/>
  <c r="E3427" i="4"/>
  <c r="E3431" i="4"/>
  <c r="E3434" i="4"/>
  <c r="E3437" i="4"/>
  <c r="E3493" i="4"/>
  <c r="E3492" i="4"/>
  <c r="E3496" i="4" s="1"/>
  <c r="E3558" i="4"/>
  <c r="E3562" i="4" s="1"/>
  <c r="E3557" i="4"/>
  <c r="E3561" i="4" s="1"/>
  <c r="E3564" i="4"/>
  <c r="E3566" i="4" s="1"/>
  <c r="E3623" i="4"/>
  <c r="E3627" i="4" s="1"/>
  <c r="E3622" i="4"/>
  <c r="E3626" i="4" s="1"/>
  <c r="E3629" i="4"/>
  <c r="E3631" i="4" s="1"/>
  <c r="E3687" i="4"/>
  <c r="E3688" i="4"/>
  <c r="D3690" i="4"/>
  <c r="E3690" i="4" s="1"/>
  <c r="E3753" i="4"/>
  <c r="E3757" i="4" s="1"/>
  <c r="E3752" i="4"/>
  <c r="D3754" i="4" s="1"/>
  <c r="E3754" i="4" s="1"/>
  <c r="E3818" i="4"/>
  <c r="E3817" i="4"/>
  <c r="D3819" i="4" s="1"/>
  <c r="E3819" i="4" s="1"/>
  <c r="E3824" i="4"/>
  <c r="E3827" i="4"/>
  <c r="E3883" i="4"/>
  <c r="E3887" i="4"/>
  <c r="E3882" i="4"/>
  <c r="D3884" i="4"/>
  <c r="E3884" i="4" s="1"/>
  <c r="E3889" i="4"/>
  <c r="E3947" i="4"/>
  <c r="E3951" i="4"/>
  <c r="E3948" i="4"/>
  <c r="D3950" i="4"/>
  <c r="E3950" i="4" s="1"/>
  <c r="E4012" i="4"/>
  <c r="E4013" i="4"/>
  <c r="D4015" i="4"/>
  <c r="E4015" i="4" s="1"/>
  <c r="E4019" i="4"/>
  <c r="E4021" i="4" s="1"/>
  <c r="E4077" i="4"/>
  <c r="E4081" i="4" s="1"/>
  <c r="E4076" i="4"/>
  <c r="D4078" i="4" s="1"/>
  <c r="E4078" i="4"/>
  <c r="E4083" i="4"/>
  <c r="D4084" i="4"/>
  <c r="E4084" i="4" s="1"/>
  <c r="E4207" i="4"/>
  <c r="E4211" i="4" s="1"/>
  <c r="D4209" i="4"/>
  <c r="E4209" i="4" s="1"/>
  <c r="E4206" i="4"/>
  <c r="D4208" i="4" s="1"/>
  <c r="E4208" i="4" s="1"/>
  <c r="E4213" i="4"/>
  <c r="E4215" i="4"/>
  <c r="E4272" i="4"/>
  <c r="E4271" i="4"/>
  <c r="E4337" i="4"/>
  <c r="D4339" i="4"/>
  <c r="E4339" i="4" s="1"/>
  <c r="E4336" i="4"/>
  <c r="D4338" i="4" s="1"/>
  <c r="E4338" i="4" s="1"/>
  <c r="E4343" i="4"/>
  <c r="E4402" i="4"/>
  <c r="E4406" i="4" s="1"/>
  <c r="E4401" i="4"/>
  <c r="D4403" i="4" s="1"/>
  <c r="E4403" i="4" s="1"/>
  <c r="E4467" i="4"/>
  <c r="E4471" i="4"/>
  <c r="E4466" i="4"/>
  <c r="D4468" i="4"/>
  <c r="E4468" i="4" s="1"/>
  <c r="E4532" i="4"/>
  <c r="D4534" i="4" s="1"/>
  <c r="E4534" i="4"/>
  <c r="E4531" i="4"/>
  <c r="D4533" i="4"/>
  <c r="E4533" i="4" s="1"/>
  <c r="E4597" i="4"/>
  <c r="D4599" i="4" s="1"/>
  <c r="E4599" i="4"/>
  <c r="E4596" i="4"/>
  <c r="D4598" i="4"/>
  <c r="E4598" i="4" s="1"/>
  <c r="E4662" i="4"/>
  <c r="D4664" i="4" s="1"/>
  <c r="E4664" i="4"/>
  <c r="E4661" i="4"/>
  <c r="D4663" i="4"/>
  <c r="E4663" i="4" s="1"/>
  <c r="E4727" i="4"/>
  <c r="E4731" i="4" s="1"/>
  <c r="E4726" i="4"/>
  <c r="E4141" i="4"/>
  <c r="E4142" i="4"/>
  <c r="D4144" i="4" s="1"/>
  <c r="E4144" i="4" s="1"/>
  <c r="E4148" i="4"/>
  <c r="E4151" i="4"/>
  <c r="D4749" i="4"/>
  <c r="D4554" i="4"/>
  <c r="D4489" i="4"/>
  <c r="D4424" i="4"/>
  <c r="D4359" i="4"/>
  <c r="D4294" i="4"/>
  <c r="D4164" i="4"/>
  <c r="D4099" i="4"/>
  <c r="D4035" i="4"/>
  <c r="D3970" i="4"/>
  <c r="D3968" i="4"/>
  <c r="D3905" i="4"/>
  <c r="D3450" i="4"/>
  <c r="D3125" i="4"/>
  <c r="D3060" i="4"/>
  <c r="D2995" i="4"/>
  <c r="D2930" i="4"/>
  <c r="D2865" i="4"/>
  <c r="D2800" i="4"/>
  <c r="D2735" i="4"/>
  <c r="D2540" i="4"/>
  <c r="D2475" i="4"/>
  <c r="D2410" i="4"/>
  <c r="D2150" i="4"/>
  <c r="D2020" i="4"/>
  <c r="D1890" i="4"/>
  <c r="D1700" i="4"/>
  <c r="D1695" i="4"/>
  <c r="D1565" i="4"/>
  <c r="D1500" i="4"/>
  <c r="D1370" i="4"/>
  <c r="D1305" i="4"/>
  <c r="D1240" i="4"/>
  <c r="D1175" i="4"/>
  <c r="C1044" i="4"/>
  <c r="D982" i="4"/>
  <c r="D979" i="4"/>
  <c r="D914" i="4"/>
  <c r="D784" i="4"/>
  <c r="D723" i="4"/>
  <c r="D722" i="4"/>
  <c r="D719" i="4"/>
  <c r="D654" i="4"/>
  <c r="D592" i="4"/>
  <c r="D589" i="4"/>
  <c r="D524" i="4"/>
  <c r="D459" i="4"/>
  <c r="D399" i="4"/>
  <c r="D396" i="4"/>
  <c r="D331" i="4"/>
  <c r="D320" i="4"/>
  <c r="D322" i="4"/>
  <c r="C324" i="4"/>
  <c r="D332" i="4"/>
  <c r="D333" i="4"/>
  <c r="D4751" i="4"/>
  <c r="D4752" i="4"/>
  <c r="D4753" i="4"/>
  <c r="D4750" i="4"/>
  <c r="D4740" i="4"/>
  <c r="D4685" i="4"/>
  <c r="D4686" i="4"/>
  <c r="D4687" i="4"/>
  <c r="D4688" i="4"/>
  <c r="D4684" i="4"/>
  <c r="D4675" i="4"/>
  <c r="D4620" i="4"/>
  <c r="D4621" i="4"/>
  <c r="D4623" i="4"/>
  <c r="D4619" i="4"/>
  <c r="D4610" i="4"/>
  <c r="D4556" i="4"/>
  <c r="D4558" i="4"/>
  <c r="D4555" i="4"/>
  <c r="D4545" i="4"/>
  <c r="D4491" i="4"/>
  <c r="D4493" i="4"/>
  <c r="D4490" i="4"/>
  <c r="D4480" i="4"/>
  <c r="D4426" i="4"/>
  <c r="D4428" i="4"/>
  <c r="D4425" i="4"/>
  <c r="D4415" i="4"/>
  <c r="D4361" i="4"/>
  <c r="D4363" i="4"/>
  <c r="D4360" i="4"/>
  <c r="D4350" i="4"/>
  <c r="D4296" i="4"/>
  <c r="D4298" i="4"/>
  <c r="D4295" i="4"/>
  <c r="D4285" i="4"/>
  <c r="D4230" i="4"/>
  <c r="D4231" i="4"/>
  <c r="D4233" i="4"/>
  <c r="D4229" i="4"/>
  <c r="D4220" i="4"/>
  <c r="D4166" i="4"/>
  <c r="D4167" i="4"/>
  <c r="D4165" i="4"/>
  <c r="D4155" i="4"/>
  <c r="D4101" i="4"/>
  <c r="D4103" i="4"/>
  <c r="D4100" i="4"/>
  <c r="D4090" i="4"/>
  <c r="D4026" i="4"/>
  <c r="D3972" i="4"/>
  <c r="D3973" i="4"/>
  <c r="D3971" i="4"/>
  <c r="D3961" i="4"/>
  <c r="D3907" i="4"/>
  <c r="D3909" i="4"/>
  <c r="D3906" i="4"/>
  <c r="D3896" i="4"/>
  <c r="D3841" i="4"/>
  <c r="D3842" i="4"/>
  <c r="D3844" i="4"/>
  <c r="D3840" i="4"/>
  <c r="D3831" i="4"/>
  <c r="D3776" i="4"/>
  <c r="D3777" i="4"/>
  <c r="D3779" i="4"/>
  <c r="D3775" i="4"/>
  <c r="D3766" i="4"/>
  <c r="D3711" i="4"/>
  <c r="D3712" i="4"/>
  <c r="D3714" i="4"/>
  <c r="D3710" i="4"/>
  <c r="D3701" i="4"/>
  <c r="D3646" i="4"/>
  <c r="D3647" i="4"/>
  <c r="D3649" i="4"/>
  <c r="D3645" i="4"/>
  <c r="D3636" i="4"/>
  <c r="D3581" i="4"/>
  <c r="D3582" i="4"/>
  <c r="D3584" i="4"/>
  <c r="D3580" i="4"/>
  <c r="D3571" i="4"/>
  <c r="D3516" i="4"/>
  <c r="D3517" i="4"/>
  <c r="D3518" i="4"/>
  <c r="D3515" i="4"/>
  <c r="D3506" i="4"/>
  <c r="D3452" i="4"/>
  <c r="D3454" i="4"/>
  <c r="D3451" i="4"/>
  <c r="D3441" i="4"/>
  <c r="D3386" i="4"/>
  <c r="D3387" i="4"/>
  <c r="D3389" i="4"/>
  <c r="D3385" i="4"/>
  <c r="D3376" i="4"/>
  <c r="D3321" i="4"/>
  <c r="D3322" i="4"/>
  <c r="D3324" i="4"/>
  <c r="D3320" i="4"/>
  <c r="D3311" i="4"/>
  <c r="D3256" i="4"/>
  <c r="D3257" i="4"/>
  <c r="D3259" i="4"/>
  <c r="D3255" i="4"/>
  <c r="D3246" i="4"/>
  <c r="D3191" i="4"/>
  <c r="D3192" i="4"/>
  <c r="D3194" i="4"/>
  <c r="D3190" i="4"/>
  <c r="D3181" i="4"/>
  <c r="D3126" i="4"/>
  <c r="D3127" i="4"/>
  <c r="D3129" i="4"/>
  <c r="D3116" i="4"/>
  <c r="D3062" i="4"/>
  <c r="D3064" i="4"/>
  <c r="D3061" i="4"/>
  <c r="D3051" i="4"/>
  <c r="D2996" i="4"/>
  <c r="D2997" i="4"/>
  <c r="D2999" i="4"/>
  <c r="D2986" i="4"/>
  <c r="D2932" i="4"/>
  <c r="D2934" i="4"/>
  <c r="D2931" i="4"/>
  <c r="D2921" i="4"/>
  <c r="D2867" i="4"/>
  <c r="D2869" i="4"/>
  <c r="D2866" i="4"/>
  <c r="D2856" i="4"/>
  <c r="D2802" i="4"/>
  <c r="D2804" i="4"/>
  <c r="D2801" i="4"/>
  <c r="D2791" i="4"/>
  <c r="D2737" i="4"/>
  <c r="D2739" i="4"/>
  <c r="D2736" i="4"/>
  <c r="D2726" i="4"/>
  <c r="D2671" i="4"/>
  <c r="D2672" i="4"/>
  <c r="D2674" i="4"/>
  <c r="D2670" i="4"/>
  <c r="D2661" i="4"/>
  <c r="D2607" i="4"/>
  <c r="D2609" i="4"/>
  <c r="D2606" i="4"/>
  <c r="D2596" i="4"/>
  <c r="D2605" i="4"/>
  <c r="D2542" i="4"/>
  <c r="D2544" i="4"/>
  <c r="D2541" i="4"/>
  <c r="D2531" i="4"/>
  <c r="D2477" i="4"/>
  <c r="D2478" i="4"/>
  <c r="D2479" i="4"/>
  <c r="D2476" i="4"/>
  <c r="D2412" i="4"/>
  <c r="D2413" i="4"/>
  <c r="D2414" i="4"/>
  <c r="D2411" i="4"/>
  <c r="D2401" i="4"/>
  <c r="D2346" i="4"/>
  <c r="D2347" i="4"/>
  <c r="D2348" i="4"/>
  <c r="D2349" i="4"/>
  <c r="D2345" i="4"/>
  <c r="D2336" i="4"/>
  <c r="D2281" i="4"/>
  <c r="D2282" i="4"/>
  <c r="D2283" i="4"/>
  <c r="D2284" i="4"/>
  <c r="D2280" i="4"/>
  <c r="D2271" i="4"/>
  <c r="D2216" i="4"/>
  <c r="D2217" i="4"/>
  <c r="D2219" i="4"/>
  <c r="D2215" i="4"/>
  <c r="D2206" i="4"/>
  <c r="D2153" i="4"/>
  <c r="D2154" i="4"/>
  <c r="D2152" i="4"/>
  <c r="D2086" i="4"/>
  <c r="D2087" i="4"/>
  <c r="D2089" i="4"/>
  <c r="D2085" i="4"/>
  <c r="D2076" i="4"/>
  <c r="D2022" i="4"/>
  <c r="D2024" i="4"/>
  <c r="D2021" i="4"/>
  <c r="D2011" i="4"/>
  <c r="D1956" i="4"/>
  <c r="D1957" i="4"/>
  <c r="D1958" i="4"/>
  <c r="D1959" i="4"/>
  <c r="D1955" i="4"/>
  <c r="D1946" i="4"/>
  <c r="D1891" i="4"/>
  <c r="D1892" i="4"/>
  <c r="D1893" i="4"/>
  <c r="D1894" i="4"/>
  <c r="D1881" i="4"/>
  <c r="D1826" i="4"/>
  <c r="D1827" i="4"/>
  <c r="D1829" i="4"/>
  <c r="D1825" i="4"/>
  <c r="D1816" i="4"/>
  <c r="D1761" i="4"/>
  <c r="D1762" i="4"/>
  <c r="D1764" i="4"/>
  <c r="D1760" i="4"/>
  <c r="D1751" i="4"/>
  <c r="D1697" i="4"/>
  <c r="D1696" i="4"/>
  <c r="D1686" i="4"/>
  <c r="D1631" i="4"/>
  <c r="D1632" i="4"/>
  <c r="D1633" i="4"/>
  <c r="D1634" i="4"/>
  <c r="D1630" i="4"/>
  <c r="D1621" i="4"/>
  <c r="D1567" i="4"/>
  <c r="D1569" i="4"/>
  <c r="D1566" i="4"/>
  <c r="D1556" i="4"/>
  <c r="D1502" i="4"/>
  <c r="D1503" i="4"/>
  <c r="D1504" i="4"/>
  <c r="D1501" i="4"/>
  <c r="D1491" i="4"/>
  <c r="D1436" i="4"/>
  <c r="D1437" i="4"/>
  <c r="D1439" i="4"/>
  <c r="D1435" i="4"/>
  <c r="D1426" i="4"/>
  <c r="D1372" i="4"/>
  <c r="D1373" i="4"/>
  <c r="D1374" i="4"/>
  <c r="D1371" i="4"/>
  <c r="D1361" i="4"/>
  <c r="D1307" i="4"/>
  <c r="D1309" i="4"/>
  <c r="D1306" i="4"/>
  <c r="D1296" i="4"/>
  <c r="D1244" i="4"/>
  <c r="D1242" i="4"/>
  <c r="D1241" i="4"/>
  <c r="D1231" i="4"/>
  <c r="D1177" i="4"/>
  <c r="D1178" i="4"/>
  <c r="D1179" i="4"/>
  <c r="D1176" i="4"/>
  <c r="D1166" i="4"/>
  <c r="D1111" i="4"/>
  <c r="D1112" i="4"/>
  <c r="D1113" i="4"/>
  <c r="D1110" i="4"/>
  <c r="D1101" i="4"/>
  <c r="D1047" i="4"/>
  <c r="D1046" i="4"/>
  <c r="D1045" i="4"/>
  <c r="D1035" i="4"/>
  <c r="D1033" i="4"/>
  <c r="D981" i="4"/>
  <c r="D980" i="4"/>
  <c r="D970" i="4"/>
  <c r="D918" i="4"/>
  <c r="D916" i="4"/>
  <c r="D915" i="4"/>
  <c r="D905" i="4"/>
  <c r="D903" i="4"/>
  <c r="D853" i="4"/>
  <c r="D850" i="4"/>
  <c r="D851" i="4"/>
  <c r="C849" i="4"/>
  <c r="D840" i="4"/>
  <c r="D788" i="4"/>
  <c r="D786" i="4"/>
  <c r="D775" i="4"/>
  <c r="D721" i="4"/>
  <c r="D710" i="4"/>
  <c r="D656" i="4"/>
  <c r="D655" i="4"/>
  <c r="D645" i="4"/>
  <c r="D591" i="4"/>
  <c r="D590" i="4"/>
  <c r="D580" i="4"/>
  <c r="D578" i="4"/>
  <c r="D527" i="4"/>
  <c r="D526" i="4"/>
  <c r="D525" i="4"/>
  <c r="D515" i="4"/>
  <c r="D462" i="4"/>
  <c r="D461" i="4"/>
  <c r="D460" i="4"/>
  <c r="D450" i="4"/>
  <c r="D448" i="4"/>
  <c r="D398" i="4"/>
  <c r="D397" i="4"/>
  <c r="D391" i="4"/>
  <c r="D387" i="4"/>
  <c r="D4037" i="4"/>
  <c r="D4036" i="4"/>
  <c r="D785" i="4"/>
  <c r="D720" i="4"/>
  <c r="D657" i="4"/>
  <c r="C4677" i="4"/>
  <c r="C4157" i="4"/>
  <c r="C3703" i="4"/>
  <c r="C3443" i="4"/>
  <c r="C2988" i="4"/>
  <c r="C2923" i="4"/>
  <c r="C2403" i="4"/>
  <c r="C2273" i="4"/>
  <c r="C2208" i="4"/>
  <c r="C1558" i="4"/>
  <c r="C1037" i="4"/>
  <c r="C777" i="4"/>
  <c r="C712" i="4"/>
  <c r="C517" i="4"/>
  <c r="C452" i="4"/>
  <c r="E258" i="4"/>
  <c r="E250" i="4"/>
  <c r="D246" i="4"/>
  <c r="E246" i="4"/>
  <c r="E244" i="4"/>
  <c r="C245" i="4"/>
  <c r="E239" i="4"/>
  <c r="D241" i="4"/>
  <c r="E241" i="4"/>
  <c r="E238" i="4"/>
  <c r="D240" i="4"/>
  <c r="E240" i="4"/>
  <c r="E234" i="4"/>
  <c r="E190" i="4"/>
  <c r="E182" i="4"/>
  <c r="E177" i="4"/>
  <c r="E179" i="4"/>
  <c r="E180" i="4"/>
  <c r="E171" i="4"/>
  <c r="D173" i="4"/>
  <c r="E173" i="4"/>
  <c r="E170" i="4"/>
  <c r="D172" i="4" s="1"/>
  <c r="E172" i="4" s="1"/>
  <c r="E166" i="4"/>
  <c r="E120" i="4"/>
  <c r="E112" i="4"/>
  <c r="D108" i="4"/>
  <c r="E108" i="4"/>
  <c r="E106" i="4"/>
  <c r="C107" i="4"/>
  <c r="E101" i="4"/>
  <c r="D103" i="4"/>
  <c r="E103" i="4"/>
  <c r="E100" i="4"/>
  <c r="D102" i="4"/>
  <c r="E102" i="4"/>
  <c r="E96" i="4"/>
  <c r="D97" i="4" s="1"/>
  <c r="E97" i="4" s="1"/>
  <c r="E49" i="4"/>
  <c r="E41" i="4"/>
  <c r="D37" i="4"/>
  <c r="E37" i="4"/>
  <c r="E35" i="4"/>
  <c r="C36" i="4"/>
  <c r="E30" i="4"/>
  <c r="D32" i="4"/>
  <c r="E32" i="4"/>
  <c r="E29" i="4"/>
  <c r="E25" i="4"/>
  <c r="C2727" i="4"/>
  <c r="D1367" i="4"/>
  <c r="D1952" i="4"/>
  <c r="D3187" i="4"/>
  <c r="D1562" i="4"/>
  <c r="D1822" i="4"/>
  <c r="D3244" i="4"/>
  <c r="D2472" i="4"/>
  <c r="D2269" i="4"/>
  <c r="D3374" i="4"/>
  <c r="D2919" i="4"/>
  <c r="D2212" i="4"/>
  <c r="D2927" i="4"/>
  <c r="D2854" i="4"/>
  <c r="D773" i="4"/>
  <c r="D838" i="4"/>
  <c r="D1554" i="4"/>
  <c r="D3309" i="4"/>
  <c r="D3382" i="4"/>
  <c r="D1619" i="4"/>
  <c r="D1684" i="4"/>
  <c r="D2659" i="4"/>
  <c r="D2789" i="4"/>
  <c r="D3635" i="4"/>
  <c r="D2074" i="4"/>
  <c r="D513" i="4"/>
  <c r="D1229" i="4"/>
  <c r="D1107" i="4"/>
  <c r="D846" i="4"/>
  <c r="E1163" i="4"/>
  <c r="D385" i="4"/>
  <c r="D4226" i="4"/>
  <c r="D3967" i="4"/>
  <c r="D699" i="4"/>
  <c r="E699" i="4"/>
  <c r="D1615" i="4"/>
  <c r="E1615" i="4" s="1"/>
  <c r="D4421" i="4"/>
  <c r="D2844" i="4"/>
  <c r="E2844" i="4"/>
  <c r="D1023" i="4"/>
  <c r="E1023" i="4"/>
  <c r="E1020" i="4" s="1"/>
  <c r="E1019" i="4" s="1"/>
  <c r="E1053" i="4" s="1"/>
  <c r="E2132" i="4"/>
  <c r="D4096" i="4"/>
  <c r="E2259" i="4"/>
  <c r="E2717" i="4"/>
  <c r="E2711" i="4" s="1"/>
  <c r="E2710" i="4" s="1"/>
  <c r="E2744" i="4" s="1"/>
  <c r="E1747" i="4"/>
  <c r="D3045" i="4"/>
  <c r="E3045" i="4" s="1"/>
  <c r="D911" i="4"/>
  <c r="E2651" i="4"/>
  <c r="E2646" i="4" s="1"/>
  <c r="E4275" i="4"/>
  <c r="D3820" i="4"/>
  <c r="E3820" i="4"/>
  <c r="D1745" i="4"/>
  <c r="E1745" i="4" s="1"/>
  <c r="E1743" i="4" s="1"/>
  <c r="D3902" i="4"/>
  <c r="E2262" i="4"/>
  <c r="D1155" i="4"/>
  <c r="E1155" i="4" s="1"/>
  <c r="E3047" i="4"/>
  <c r="D178" i="4"/>
  <c r="E178" i="4"/>
  <c r="E176" i="4" s="1"/>
  <c r="E2456" i="4"/>
  <c r="E3952" i="4"/>
  <c r="D1935" i="4"/>
  <c r="E1935" i="4"/>
  <c r="D3890" i="4"/>
  <c r="E3890" i="4" s="1"/>
  <c r="D3300" i="4"/>
  <c r="E3300" i="4"/>
  <c r="D4024" i="4"/>
  <c r="E1248" i="4"/>
  <c r="D4681" i="4"/>
  <c r="E4043" i="4"/>
  <c r="E835" i="4"/>
  <c r="D2975" i="4"/>
  <c r="E2975" i="4"/>
  <c r="D2082" i="4"/>
  <c r="E3302" i="4"/>
  <c r="D4674" i="4"/>
  <c r="D4161" i="4"/>
  <c r="D964" i="4"/>
  <c r="E964" i="4"/>
  <c r="E962" i="4" s="1"/>
  <c r="D1609" i="4"/>
  <c r="E1609" i="4"/>
  <c r="D3707" i="4"/>
  <c r="D2395" i="4"/>
  <c r="E2395" i="4" s="1"/>
  <c r="E2393" i="4" s="1"/>
  <c r="E831" i="4"/>
  <c r="D834" i="4"/>
  <c r="E834" i="4" s="1"/>
  <c r="E832" i="4" s="1"/>
  <c r="D3894" i="4"/>
  <c r="D4616" i="4"/>
  <c r="D3512" i="4"/>
  <c r="D2862" i="4"/>
  <c r="D2732" i="4"/>
  <c r="E638" i="4"/>
  <c r="E640" i="4" s="1"/>
  <c r="E1097" i="4"/>
  <c r="D781" i="4"/>
  <c r="D1237" i="4"/>
  <c r="D4486" i="4"/>
  <c r="E3107" i="4"/>
  <c r="D893" i="4"/>
  <c r="E893" i="4"/>
  <c r="E890" i="4" s="1"/>
  <c r="E889" i="4" s="1"/>
  <c r="E923" i="4" s="1"/>
  <c r="E895" i="4"/>
  <c r="D1432" i="4"/>
  <c r="D2537" i="4"/>
  <c r="E2536" i="4"/>
  <c r="D4291" i="4"/>
  <c r="D4551" i="4"/>
  <c r="E4145" i="4"/>
  <c r="D2910" i="4"/>
  <c r="E2910" i="4" s="1"/>
  <c r="D4746" i="4"/>
  <c r="D521" i="4"/>
  <c r="D1887" i="4"/>
  <c r="D2342" i="4"/>
  <c r="E2201" i="4"/>
  <c r="D376" i="4"/>
  <c r="E376" i="4"/>
  <c r="E378" i="4"/>
  <c r="E4605" i="4"/>
  <c r="D4356" i="4"/>
  <c r="D3447" i="4"/>
  <c r="D1692" i="4"/>
  <c r="D2797" i="4"/>
  <c r="E2146" i="4"/>
  <c r="E1951" i="4"/>
  <c r="E2329" i="4"/>
  <c r="E2332" i="4"/>
  <c r="E1293" i="4"/>
  <c r="D958" i="4"/>
  <c r="E958" i="4" s="1"/>
  <c r="E955" i="4" s="1"/>
  <c r="E954" i="4" s="1"/>
  <c r="E988" i="4" s="1"/>
  <c r="E4672" i="4"/>
  <c r="C4287" i="4"/>
  <c r="C2858" i="4"/>
  <c r="E1032" i="4"/>
  <c r="E902" i="4"/>
  <c r="E4367" i="4"/>
  <c r="E1183" i="4"/>
  <c r="E2548" i="4"/>
  <c r="E2808" i="4"/>
  <c r="D3716" i="4"/>
  <c r="D3500" i="4"/>
  <c r="E3500" i="4" s="1"/>
  <c r="E3498" i="4" s="1"/>
  <c r="E382" i="4"/>
  <c r="D381" i="4"/>
  <c r="E381" i="4"/>
  <c r="E379" i="4" s="1"/>
  <c r="D2590" i="4"/>
  <c r="E2590" i="4"/>
  <c r="E2591" i="4"/>
  <c r="E2588" i="4" s="1"/>
  <c r="E2580" i="4" s="1"/>
  <c r="E2614" i="4" s="1"/>
  <c r="E506" i="4"/>
  <c r="D4404" i="4"/>
  <c r="E4404" i="4"/>
  <c r="E4400" i="4" s="1"/>
  <c r="E4399" i="4" s="1"/>
  <c r="D634" i="4"/>
  <c r="E634" i="4" s="1"/>
  <c r="E630" i="4" s="1"/>
  <c r="D438" i="4"/>
  <c r="E438" i="4"/>
  <c r="E317" i="4"/>
  <c r="E4615" i="4"/>
  <c r="E1677" i="4"/>
  <c r="D316" i="4"/>
  <c r="E316" i="4"/>
  <c r="E314" i="4" s="1"/>
  <c r="E3576" i="4"/>
  <c r="E3821" i="4"/>
  <c r="E4485" i="4"/>
  <c r="E510" i="4"/>
  <c r="D4729" i="4"/>
  <c r="E4729" i="4"/>
  <c r="E3301" i="4"/>
  <c r="D3885" i="4"/>
  <c r="E3885" i="4"/>
  <c r="E2916" i="4"/>
  <c r="E1161" i="4"/>
  <c r="E577" i="4"/>
  <c r="E3243" i="4"/>
  <c r="E3886" i="4"/>
  <c r="D3040" i="4"/>
  <c r="E3040" i="4" s="1"/>
  <c r="E3036" i="4" s="1"/>
  <c r="E3035" i="4" s="1"/>
  <c r="E3069" i="4" s="1"/>
  <c r="E2067" i="4"/>
  <c r="E1546" i="4"/>
  <c r="D1160" i="4"/>
  <c r="E1160" i="4" s="1"/>
  <c r="E1158" i="4" s="1"/>
  <c r="E4540" i="4"/>
  <c r="E965" i="4"/>
  <c r="D4079" i="4"/>
  <c r="E4079" i="4"/>
  <c r="D3104" i="4"/>
  <c r="E3104" i="4" s="1"/>
  <c r="E3101" i="4" s="1"/>
  <c r="E3251" i="4"/>
  <c r="E4095" i="4"/>
  <c r="E1626" i="4"/>
  <c r="E2526" i="4"/>
  <c r="E2527" i="4"/>
  <c r="D2455" i="4"/>
  <c r="E2455" i="4" s="1"/>
  <c r="E2451" i="4" s="1"/>
  <c r="D2064" i="4"/>
  <c r="E2064" i="4"/>
  <c r="D1680" i="4"/>
  <c r="E1680" i="4" s="1"/>
  <c r="E1678" i="4" s="1"/>
  <c r="E1670" i="4" s="1"/>
  <c r="E1704" i="4" s="1"/>
  <c r="E2721" i="4"/>
  <c r="E3316" i="4"/>
  <c r="C3052" i="4"/>
  <c r="E3048" i="4"/>
  <c r="D849" i="4"/>
  <c r="E3826" i="4"/>
  <c r="E3436" i="4"/>
  <c r="E3366" i="4"/>
  <c r="D3364" i="4"/>
  <c r="E3364" i="4"/>
  <c r="E3307" i="4"/>
  <c r="E2392" i="4"/>
  <c r="E1611" i="4"/>
  <c r="D2026" i="4"/>
  <c r="D4143" i="4"/>
  <c r="E4143" i="4" s="1"/>
  <c r="E4140" i="4" s="1"/>
  <c r="E4016" i="4"/>
  <c r="D4014" i="4"/>
  <c r="E4014" i="4"/>
  <c r="E4011" i="4" s="1"/>
  <c r="E4010" i="4" s="1"/>
  <c r="D2520" i="4"/>
  <c r="E2520" i="4"/>
  <c r="E2522" i="4"/>
  <c r="D660" i="4"/>
  <c r="E650" i="4"/>
  <c r="C776" i="4"/>
  <c r="D2720" i="4"/>
  <c r="E2720" i="4"/>
  <c r="E2718" i="4" s="1"/>
  <c r="E707" i="4"/>
  <c r="E4341" i="4"/>
  <c r="E2787" i="4"/>
  <c r="E2260" i="4"/>
  <c r="E2256" i="4" s="1"/>
  <c r="E1682" i="4"/>
  <c r="D1349" i="4"/>
  <c r="E1349" i="4"/>
  <c r="E830" i="4"/>
  <c r="E825" i="4" s="1"/>
  <c r="D3001" i="4"/>
  <c r="C1428" i="4"/>
  <c r="D4669" i="4"/>
  <c r="E4669" i="4"/>
  <c r="E4667" i="4" s="1"/>
  <c r="E4659" i="4" s="1"/>
  <c r="D2585" i="4"/>
  <c r="E2585" i="4"/>
  <c r="E4085" i="4"/>
  <c r="E4082" i="4" s="1"/>
  <c r="D3825" i="4"/>
  <c r="E3825" i="4"/>
  <c r="E3823" i="4"/>
  <c r="D3435" i="4"/>
  <c r="E3435" i="4" s="1"/>
  <c r="E3433" i="4" s="1"/>
  <c r="E3111" i="4"/>
  <c r="E2780" i="4"/>
  <c r="C3572" i="4"/>
  <c r="C2662" i="4"/>
  <c r="D4149" i="4"/>
  <c r="E4149" i="4"/>
  <c r="E4147" i="4" s="1"/>
  <c r="E4150" i="4"/>
  <c r="D4344" i="4"/>
  <c r="E4344" i="4"/>
  <c r="E4342" i="4" s="1"/>
  <c r="E4334" i="4" s="1"/>
  <c r="E4216" i="4"/>
  <c r="D4214" i="4"/>
  <c r="E4214" i="4"/>
  <c r="E4212" i="4"/>
  <c r="E4204" i="4" s="1"/>
  <c r="E4238" i="4" s="1"/>
  <c r="D3689" i="4"/>
  <c r="E3689" i="4"/>
  <c r="E3691" i="4"/>
  <c r="E3686" i="4" s="1"/>
  <c r="E2267" i="4"/>
  <c r="D2129" i="4"/>
  <c r="E2129" i="4"/>
  <c r="E1807" i="4"/>
  <c r="D1805" i="4"/>
  <c r="E1805" i="4" s="1"/>
  <c r="D4365" i="4"/>
  <c r="E4355" i="4"/>
  <c r="D26" i="4"/>
  <c r="E26" i="4" s="1"/>
  <c r="E24" i="4" s="1"/>
  <c r="E4600" i="4"/>
  <c r="E4595" i="4" s="1"/>
  <c r="E4535" i="4"/>
  <c r="E4530" i="4" s="1"/>
  <c r="D4273" i="4"/>
  <c r="E4273" i="4"/>
  <c r="E3891" i="4"/>
  <c r="E3892" i="4"/>
  <c r="E3822" i="4"/>
  <c r="D2324" i="4"/>
  <c r="E2324" i="4"/>
  <c r="E1941" i="4"/>
  <c r="E2202" i="4"/>
  <c r="E446" i="4"/>
  <c r="E2601" i="4"/>
  <c r="D3695" i="4"/>
  <c r="E3695" i="4" s="1"/>
  <c r="E3693" i="4" s="1"/>
  <c r="D1610" i="4"/>
  <c r="E1610" i="4"/>
  <c r="D4728" i="4"/>
  <c r="E4728" i="4" s="1"/>
  <c r="E4725" i="4" s="1"/>
  <c r="D3110" i="4"/>
  <c r="E3110" i="4"/>
  <c r="E3108" i="4" s="1"/>
  <c r="D1441" i="4"/>
  <c r="C516" i="4"/>
  <c r="E4730" i="4"/>
  <c r="E2391" i="4"/>
  <c r="C1427" i="4"/>
  <c r="D1044" i="4"/>
  <c r="E765" i="4"/>
  <c r="E763" i="4"/>
  <c r="D530" i="4"/>
  <c r="E520" i="4"/>
  <c r="D1290" i="4"/>
  <c r="E1290" i="4" s="1"/>
  <c r="E1288" i="4" s="1"/>
  <c r="E1030" i="4"/>
  <c r="E2982" i="4"/>
  <c r="D3196" i="4"/>
  <c r="E3186" i="4"/>
  <c r="E2861" i="4"/>
  <c r="E3957" i="4"/>
  <c r="E2397" i="4"/>
  <c r="E2396" i="4"/>
  <c r="E2137" i="4"/>
  <c r="E2136" i="4"/>
  <c r="E4670" i="4"/>
  <c r="E3756" i="4"/>
  <c r="E2983" i="4"/>
  <c r="D2265" i="4"/>
  <c r="E2265" i="4"/>
  <c r="E2263" i="4" s="1"/>
  <c r="D4020" i="4"/>
  <c r="E4020" i="4"/>
  <c r="D985" i="4"/>
  <c r="D1870" i="4"/>
  <c r="E1870" i="4"/>
  <c r="E1812" i="4"/>
  <c r="E3966" i="4"/>
  <c r="E313" i="4"/>
  <c r="D3131" i="4"/>
  <c r="D3169" i="4"/>
  <c r="E3169" i="4"/>
  <c r="E3166" i="4" s="1"/>
  <c r="E3165" i="4" s="1"/>
  <c r="E3199" i="4" s="1"/>
  <c r="E2788" i="4"/>
  <c r="C3637" i="4"/>
  <c r="D959" i="4"/>
  <c r="E959" i="4"/>
  <c r="E1942" i="4"/>
  <c r="D790" i="4"/>
  <c r="C1753" i="4"/>
  <c r="E3641" i="4"/>
  <c r="D3651" i="4"/>
  <c r="C2597" i="4"/>
  <c r="E4601" i="4"/>
  <c r="E1741" i="4"/>
  <c r="D1739" i="4"/>
  <c r="E1739" i="4"/>
  <c r="D1485" i="4"/>
  <c r="E1485" i="4"/>
  <c r="E1487" i="4"/>
  <c r="E1486" i="4"/>
  <c r="D1896" i="4"/>
  <c r="E1886" i="4"/>
  <c r="E4665" i="4"/>
  <c r="E4405" i="4"/>
  <c r="E2781" i="4"/>
  <c r="D2779" i="4"/>
  <c r="E2779" i="4" s="1"/>
  <c r="E2776" i="4" s="1"/>
  <c r="E2462" i="4"/>
  <c r="E635" i="4"/>
  <c r="D375" i="4"/>
  <c r="E375" i="4" s="1"/>
  <c r="E372" i="4" s="1"/>
  <c r="E371" i="4" s="1"/>
  <c r="E405" i="4" s="1"/>
  <c r="E4736" i="4"/>
  <c r="D4734" i="4"/>
  <c r="E4734" i="4"/>
  <c r="E4732" i="4" s="1"/>
  <c r="E4735" i="4"/>
  <c r="D2936" i="4"/>
  <c r="E2926" i="4"/>
  <c r="E1553" i="4"/>
  <c r="C1557" i="4"/>
  <c r="D3494" i="4"/>
  <c r="E3494" i="4"/>
  <c r="E3491" i="4" s="1"/>
  <c r="E3490" i="4" s="1"/>
  <c r="D167" i="4"/>
  <c r="E167" i="4" s="1"/>
  <c r="E165" i="4" s="1"/>
  <c r="E164" i="4" s="1"/>
  <c r="E163" i="4" s="1"/>
  <c r="E202" i="4" s="1"/>
  <c r="E203" i="4" s="1"/>
  <c r="C646" i="4"/>
  <c r="E4470" i="4"/>
  <c r="D1284" i="4"/>
  <c r="E1284" i="4"/>
  <c r="E4022" i="4"/>
  <c r="E2002" i="4"/>
  <c r="D444" i="4"/>
  <c r="E444" i="4"/>
  <c r="E1171" i="4"/>
  <c r="E3056" i="4"/>
  <c r="E4420" i="4"/>
  <c r="E237" i="4"/>
  <c r="E4335" i="4"/>
  <c r="E3043" i="4"/>
  <c r="E3567" i="4"/>
  <c r="D465" i="4"/>
  <c r="E3113" i="4"/>
  <c r="C1102" i="4"/>
  <c r="D3565" i="4"/>
  <c r="E3565" i="4"/>
  <c r="E3563" i="4"/>
  <c r="D4279" i="4"/>
  <c r="E4279" i="4"/>
  <c r="E4476" i="4"/>
  <c r="E4472" i="4" s="1"/>
  <c r="E2331" i="4"/>
  <c r="D4604" i="4"/>
  <c r="E4604" i="4"/>
  <c r="E4602" i="4" s="1"/>
  <c r="E3762" i="4"/>
  <c r="D2714" i="4"/>
  <c r="E2714" i="4"/>
  <c r="E4340" i="4"/>
  <c r="E3692" i="4"/>
  <c r="D3630" i="4"/>
  <c r="E3630" i="4"/>
  <c r="E3628" i="4" s="1"/>
  <c r="D3560" i="4"/>
  <c r="E3560" i="4"/>
  <c r="E2652" i="4"/>
  <c r="E2261" i="4"/>
  <c r="E2197" i="4"/>
  <c r="E2191" i="4"/>
  <c r="D1810" i="4"/>
  <c r="E1810" i="4"/>
  <c r="E1808" i="4"/>
  <c r="E1417" i="4"/>
  <c r="E4475" i="4"/>
  <c r="D3760" i="4"/>
  <c r="E3760" i="4"/>
  <c r="E3758" i="4" s="1"/>
  <c r="E4160" i="4"/>
  <c r="D1116" i="4"/>
  <c r="D595" i="4"/>
  <c r="E3697" i="4"/>
  <c r="C2402" i="4"/>
  <c r="C3313" i="4"/>
  <c r="C3898" i="4"/>
  <c r="C4091" i="4"/>
  <c r="E1618" i="4"/>
  <c r="E900" i="4"/>
  <c r="E897" i="4"/>
  <c r="E2071" i="4"/>
  <c r="E3632" i="4"/>
  <c r="E706" i="4"/>
  <c r="E3901" i="4"/>
  <c r="E2976" i="4"/>
  <c r="E2971" i="4"/>
  <c r="E1221" i="4"/>
  <c r="D2980" i="4"/>
  <c r="E2980" i="4"/>
  <c r="E2978" i="4"/>
  <c r="E2970" i="4" s="1"/>
  <c r="E3004" i="4" s="1"/>
  <c r="E4210" i="4"/>
  <c r="E2081" i="4"/>
  <c r="E910" i="4"/>
  <c r="E1091" i="4"/>
  <c r="E1026" i="4"/>
  <c r="E319" i="4"/>
  <c r="D764" i="4"/>
  <c r="E764" i="4" s="1"/>
  <c r="E760" i="4" s="1"/>
  <c r="E759" i="4" s="1"/>
  <c r="E793" i="4" s="1"/>
  <c r="D2005" i="4"/>
  <c r="E2005" i="4"/>
  <c r="D725" i="4"/>
  <c r="D1024" i="4"/>
  <c r="E1024" i="4" s="1"/>
  <c r="D3305" i="4"/>
  <c r="E3305" i="4"/>
  <c r="E3303" i="4" s="1"/>
  <c r="E2786" i="4"/>
  <c r="E2783" i="4" s="1"/>
  <c r="D2845" i="4"/>
  <c r="E2845" i="4"/>
  <c r="E2841" i="4"/>
  <c r="E3828" i="4"/>
  <c r="E2203" i="4"/>
  <c r="E2073" i="4"/>
  <c r="E2006" i="4"/>
  <c r="E4146" i="4"/>
  <c r="E4666" i="4"/>
  <c r="E4660" i="4"/>
  <c r="D3625" i="4"/>
  <c r="E3625" i="4"/>
  <c r="D3429" i="4"/>
  <c r="E3429" i="4" s="1"/>
  <c r="E3426" i="4" s="1"/>
  <c r="E3425" i="4" s="1"/>
  <c r="E3459" i="4" s="1"/>
  <c r="E3237" i="4"/>
  <c r="D1934" i="4"/>
  <c r="E1934" i="4" s="1"/>
  <c r="E1931" i="4" s="1"/>
  <c r="E1871" i="4"/>
  <c r="E1676" i="4"/>
  <c r="D1246" i="4"/>
  <c r="D3846" i="4"/>
  <c r="D402" i="4"/>
  <c r="E4550" i="4"/>
  <c r="D2481" i="4"/>
  <c r="E705" i="4"/>
  <c r="E702" i="4" s="1"/>
  <c r="E901" i="4"/>
  <c r="C1232" i="4"/>
  <c r="E1488" i="4"/>
  <c r="C1752" i="4"/>
  <c r="E4217" i="4"/>
  <c r="C451" i="4"/>
  <c r="E967" i="4"/>
  <c r="E2528" i="4"/>
  <c r="E2341" i="4"/>
  <c r="D2806" i="4"/>
  <c r="D2200" i="4"/>
  <c r="E2200" i="4" s="1"/>
  <c r="E2198" i="4" s="1"/>
  <c r="E4290" i="4"/>
  <c r="D639" i="4"/>
  <c r="E639" i="4" s="1"/>
  <c r="E3306" i="4"/>
  <c r="D3949" i="4"/>
  <c r="E3949" i="4"/>
  <c r="E3946" i="4" s="1"/>
  <c r="E3945" i="4" s="1"/>
  <c r="E3979" i="4" s="1"/>
  <c r="E2586" i="4"/>
  <c r="E2581" i="4"/>
  <c r="D1479" i="4"/>
  <c r="E1479" i="4"/>
  <c r="E766" i="4"/>
  <c r="E570" i="4"/>
  <c r="E3438" i="4"/>
  <c r="C3963" i="4"/>
  <c r="E3178" i="4"/>
  <c r="E442" i="4"/>
  <c r="D2070" i="4"/>
  <c r="E2070" i="4"/>
  <c r="E2068" i="4"/>
  <c r="D2325" i="4"/>
  <c r="E2325" i="4"/>
  <c r="E2321" i="4"/>
  <c r="E1483" i="4"/>
  <c r="D3039" i="4"/>
  <c r="E3039" i="4"/>
  <c r="E3432" i="4"/>
  <c r="E1866" i="4"/>
  <c r="E1683" i="4"/>
  <c r="E1291" i="4"/>
  <c r="D1766" i="4"/>
  <c r="D2330" i="4"/>
  <c r="E2330" i="4" s="1"/>
  <c r="E2328" i="4" s="1"/>
  <c r="E2320" i="4" s="1"/>
  <c r="E2354" i="4" s="1"/>
  <c r="E3761" i="4"/>
  <c r="E3888" i="4"/>
  <c r="E3816" i="4"/>
  <c r="E2386" i="4"/>
  <c r="E2385" i="4" s="1"/>
  <c r="E2419" i="4" s="1"/>
  <c r="E837" i="4"/>
  <c r="E2126" i="4"/>
  <c r="D4409" i="4"/>
  <c r="E4409" i="4"/>
  <c r="E4407" i="4" s="1"/>
  <c r="E4411" i="4"/>
  <c r="E4410" i="4"/>
  <c r="E4205" i="4"/>
  <c r="E3371" i="4"/>
  <c r="D3370" i="4"/>
  <c r="E3370" i="4"/>
  <c r="E771" i="4"/>
  <c r="E770" i="4"/>
  <c r="D2741" i="4"/>
  <c r="E2731" i="4"/>
  <c r="E4745" i="4"/>
  <c r="D4755" i="4"/>
  <c r="E4536" i="4"/>
  <c r="E3176" i="4"/>
  <c r="D3175" i="4"/>
  <c r="E3175" i="4"/>
  <c r="E2851" i="4"/>
  <c r="D1545" i="4"/>
  <c r="E1545" i="4"/>
  <c r="E1547" i="4"/>
  <c r="E1541" i="4" s="1"/>
  <c r="E571" i="4"/>
  <c r="E565" i="4" s="1"/>
  <c r="D569" i="4"/>
  <c r="E569" i="4"/>
  <c r="E1357" i="4"/>
  <c r="E1356" i="4"/>
  <c r="E2657" i="4"/>
  <c r="E2656" i="4"/>
  <c r="E2653" i="4" s="1"/>
  <c r="D1999" i="4"/>
  <c r="E1999" i="4" s="1"/>
  <c r="E1996" i="4" s="1"/>
  <c r="E1995" i="4" s="1"/>
  <c r="E2029" i="4" s="1"/>
  <c r="E2001" i="4"/>
  <c r="D509" i="4"/>
  <c r="E509" i="4"/>
  <c r="E507" i="4" s="1"/>
  <c r="E511" i="4"/>
  <c r="E1877" i="4"/>
  <c r="D1875" i="4"/>
  <c r="E1875" i="4" s="1"/>
  <c r="E1873" i="4" s="1"/>
  <c r="E383" i="4"/>
  <c r="D2676" i="4"/>
  <c r="E2666" i="4"/>
  <c r="E1691" i="4"/>
  <c r="D1701" i="4"/>
  <c r="C4481" i="4"/>
  <c r="E4477" i="4"/>
  <c r="D1350" i="4"/>
  <c r="E1350" i="4" s="1"/>
  <c r="E1606" i="4"/>
  <c r="D574" i="4"/>
  <c r="E574" i="4" s="1"/>
  <c r="E572" i="4" s="1"/>
  <c r="E2521" i="4"/>
  <c r="E1422" i="4"/>
  <c r="E3372" i="4"/>
  <c r="E3368" i="4" s="1"/>
  <c r="D769" i="4"/>
  <c r="E769" i="4"/>
  <c r="D1090" i="4"/>
  <c r="E1090" i="4"/>
  <c r="E1086" i="4" s="1"/>
  <c r="E1085" i="4" s="1"/>
  <c r="E1119" i="4" s="1"/>
  <c r="D4469" i="4"/>
  <c r="E4469" i="4"/>
  <c r="E4465" i="4"/>
  <c r="E4464" i="4" s="1"/>
  <c r="E4498" i="4" s="1"/>
  <c r="D2519" i="4"/>
  <c r="E2519" i="4"/>
  <c r="E2516" i="4" s="1"/>
  <c r="E2515" i="4" s="1"/>
  <c r="E2549" i="4" s="1"/>
  <c r="D2194" i="4"/>
  <c r="E2194" i="4"/>
  <c r="D1804" i="4"/>
  <c r="E1804" i="4" s="1"/>
  <c r="E1801" i="4" s="1"/>
  <c r="E1800" i="4" s="1"/>
  <c r="E1834" i="4" s="1"/>
  <c r="D1506" i="4"/>
  <c r="D337" i="4"/>
  <c r="E4018" i="4"/>
  <c r="C4416" i="4"/>
  <c r="D1550" i="4"/>
  <c r="E1550" i="4"/>
  <c r="D3559" i="4"/>
  <c r="E3559" i="4" s="1"/>
  <c r="E3556" i="4" s="1"/>
  <c r="E3555" i="4" s="1"/>
  <c r="E3589" i="4" s="1"/>
  <c r="D439" i="4"/>
  <c r="E439" i="4"/>
  <c r="E435" i="4"/>
  <c r="E434" i="4" s="1"/>
  <c r="E468" i="4" s="1"/>
  <c r="E575" i="4"/>
  <c r="D1740" i="4"/>
  <c r="E1740" i="4" s="1"/>
  <c r="E1736" i="4" s="1"/>
  <c r="E1735" i="4" s="1"/>
  <c r="E3381" i="4"/>
  <c r="D894" i="4"/>
  <c r="E894" i="4"/>
  <c r="C2142" i="4"/>
  <c r="E1821" i="4"/>
  <c r="E1222" i="4"/>
  <c r="E700" i="4"/>
  <c r="E695" i="4"/>
  <c r="E694" i="4" s="1"/>
  <c r="E728" i="4" s="1"/>
  <c r="E3763" i="4"/>
  <c r="D4235" i="4"/>
  <c r="E4017" i="4"/>
  <c r="C4612" i="4"/>
  <c r="E3881" i="4"/>
  <c r="E3880" i="4"/>
  <c r="E3914" i="4" s="1"/>
  <c r="E2523" i="4"/>
  <c r="E2008" i="4"/>
  <c r="E3241" i="4"/>
  <c r="E3238" i="4" s="1"/>
  <c r="E3242" i="4"/>
  <c r="E1416" i="4"/>
  <c r="E1156" i="4"/>
  <c r="E3502" i="4"/>
  <c r="D2221" i="4"/>
  <c r="E2211" i="4"/>
  <c r="E4345" i="4"/>
  <c r="E4346" i="4"/>
  <c r="E3367" i="4"/>
  <c r="E1616" i="4"/>
  <c r="E1617" i="4"/>
  <c r="E1613" i="4" s="1"/>
  <c r="E1605" i="4" s="1"/>
  <c r="E1639" i="4" s="1"/>
  <c r="D1376" i="4"/>
  <c r="E1366" i="4"/>
  <c r="C1363" i="4"/>
  <c r="E1358" i="4"/>
  <c r="E3698" i="4"/>
  <c r="C3702" i="4"/>
  <c r="D4274" i="4"/>
  <c r="E4274" i="4"/>
  <c r="E4276" i="4"/>
  <c r="E3497" i="4"/>
  <c r="D3495" i="4"/>
  <c r="E3495" i="4"/>
  <c r="E3236" i="4"/>
  <c r="D3234" i="4"/>
  <c r="E3234" i="4"/>
  <c r="E3231" i="4" s="1"/>
  <c r="E3230" i="4" s="1"/>
  <c r="E3264" i="4" s="1"/>
  <c r="E3172" i="4"/>
  <c r="E2461" i="4"/>
  <c r="D2460" i="4"/>
  <c r="E2460" i="4" s="1"/>
  <c r="E2458" i="4" s="1"/>
  <c r="D1225" i="4"/>
  <c r="E1225" i="4"/>
  <c r="E1226" i="4"/>
  <c r="E1227" i="4"/>
  <c r="E312" i="4"/>
  <c r="D310" i="4"/>
  <c r="E310" i="4"/>
  <c r="E307" i="4" s="1"/>
  <c r="E4280" i="4"/>
  <c r="E4277" i="4"/>
  <c r="D2286" i="4"/>
  <c r="E2276" i="4"/>
  <c r="E1671" i="4"/>
  <c r="E95" i="4"/>
  <c r="E1943" i="4"/>
  <c r="D1420" i="4"/>
  <c r="E1420" i="4" s="1"/>
  <c r="E1418" i="4" s="1"/>
  <c r="E1216" i="4"/>
  <c r="D31" i="4"/>
  <c r="E31" i="4" s="1"/>
  <c r="E28" i="4" s="1"/>
  <c r="E169" i="4"/>
  <c r="E3815" i="4"/>
  <c r="E3849" i="4" s="1"/>
  <c r="D3624" i="4"/>
  <c r="E3624" i="4"/>
  <c r="E3621" i="4"/>
  <c r="E3620" i="4" s="1"/>
  <c r="E3654" i="4" s="1"/>
  <c r="D1154" i="4"/>
  <c r="E1154" i="4"/>
  <c r="E1151" i="4" s="1"/>
  <c r="E1150" i="4" s="1"/>
  <c r="E1184" i="4" s="1"/>
  <c r="E377" i="4"/>
  <c r="C4742" i="4"/>
  <c r="D1029" i="4"/>
  <c r="E1029" i="4" s="1"/>
  <c r="E1027" i="4" s="1"/>
  <c r="D3781" i="4"/>
  <c r="E1551" i="4"/>
  <c r="E1548" i="4" s="1"/>
  <c r="C4546" i="4"/>
  <c r="E1096" i="4"/>
  <c r="E1093" i="4"/>
  <c r="E4080" i="4"/>
  <c r="E4075" i="4" s="1"/>
  <c r="E4074" i="4" s="1"/>
  <c r="E4108" i="4" s="1"/>
  <c r="D3955" i="4"/>
  <c r="E3955" i="4"/>
  <c r="E3953" i="4"/>
  <c r="D1480" i="4"/>
  <c r="E1480" i="4"/>
  <c r="E2852" i="4"/>
  <c r="D1414" i="4"/>
  <c r="E1414" i="4"/>
  <c r="E1411" i="4"/>
  <c r="E1410" i="4" s="1"/>
  <c r="E1444" i="4" s="1"/>
  <c r="E2918" i="4"/>
  <c r="E1681" i="4"/>
  <c r="E2853" i="4"/>
  <c r="C4221" i="4"/>
  <c r="D3755" i="4"/>
  <c r="E3755" i="4"/>
  <c r="E3751" i="4"/>
  <c r="E3750" i="4" s="1"/>
  <c r="E3784" i="4" s="1"/>
  <c r="E99" i="4"/>
  <c r="E4086" i="4"/>
  <c r="D3365" i="4"/>
  <c r="E3365" i="4" s="1"/>
  <c r="E3361" i="4" s="1"/>
  <c r="E3177" i="4"/>
  <c r="D2850" i="4"/>
  <c r="E2850" i="4" s="1"/>
  <c r="E2848" i="4" s="1"/>
  <c r="E2782" i="4"/>
  <c r="D2065" i="4"/>
  <c r="E2065" i="4"/>
  <c r="E2061" i="4"/>
  <c r="E2060" i="4" s="1"/>
  <c r="E2094" i="4" s="1"/>
  <c r="D1285" i="4"/>
  <c r="E1285" i="4" s="1"/>
  <c r="E1281" i="4" s="1"/>
  <c r="E1280" i="4" s="1"/>
  <c r="E1314" i="4" s="1"/>
  <c r="E505" i="4"/>
  <c r="E500" i="4"/>
  <c r="D1355" i="4"/>
  <c r="E1355" i="4"/>
  <c r="E1353" i="4" s="1"/>
  <c r="C2337" i="4"/>
  <c r="D3456" i="4"/>
  <c r="E3511" i="4"/>
  <c r="E3568" i="4"/>
  <c r="C1883" i="4"/>
  <c r="E2463" i="4"/>
  <c r="C2598" i="4"/>
  <c r="E767" i="4"/>
  <c r="E1476" i="4"/>
  <c r="E1475" i="4" s="1"/>
  <c r="E1509" i="4" s="1"/>
  <c r="E2003" i="4"/>
  <c r="E4270" i="4"/>
  <c r="E4269" i="4" s="1"/>
  <c r="E4303" i="4" s="1"/>
  <c r="E1223" i="4"/>
  <c r="E3173" i="4"/>
  <c r="E1215" i="4"/>
  <c r="E1249" i="4" s="1"/>
  <c r="E94" i="4"/>
  <c r="E93" i="4"/>
  <c r="E132" i="4"/>
  <c r="E133" i="4"/>
  <c r="E2840" i="4" l="1"/>
  <c r="E2874" i="4" s="1"/>
  <c r="E2190" i="4"/>
  <c r="E2224" i="4" s="1"/>
  <c r="E4139" i="4"/>
  <c r="E4173" i="4" s="1"/>
  <c r="E3100" i="4"/>
  <c r="E3134" i="4" s="1"/>
  <c r="E2645" i="4"/>
  <c r="E2679" i="4" s="1"/>
  <c r="E499" i="4"/>
  <c r="E533" i="4" s="1"/>
  <c r="E3360" i="4"/>
  <c r="E3394" i="4" s="1"/>
  <c r="E564" i="4"/>
  <c r="E598" i="4" s="1"/>
  <c r="E4724" i="4"/>
  <c r="E4594" i="4"/>
  <c r="E4628" i="4" s="1"/>
  <c r="E824" i="4"/>
  <c r="E858" i="4" s="1"/>
  <c r="E2255" i="4"/>
  <c r="E2289" i="4" s="1"/>
  <c r="E306" i="4"/>
  <c r="E340" i="4" s="1"/>
  <c r="E1540" i="4"/>
  <c r="E1865" i="4"/>
  <c r="E2775" i="4"/>
  <c r="E2809" i="4" s="1"/>
  <c r="E23" i="4"/>
  <c r="E61" i="4" s="1"/>
  <c r="E62" i="4" s="1"/>
  <c r="E3685" i="4"/>
  <c r="E3719" i="4" s="1"/>
  <c r="E1346" i="4"/>
  <c r="E1345" i="4" s="1"/>
  <c r="E1379" i="4" s="1"/>
  <c r="E2450" i="4"/>
  <c r="E2484" i="4" s="1"/>
  <c r="E3296" i="4"/>
  <c r="E3295" i="4" s="1"/>
  <c r="E641" i="4"/>
  <c r="E637" i="4" s="1"/>
  <c r="E629" i="4" s="1"/>
  <c r="E663" i="4" s="1"/>
  <c r="D235" i="4"/>
  <c r="E235" i="4" s="1"/>
  <c r="E233" i="4"/>
  <c r="E232" i="4" s="1"/>
  <c r="E231" i="4" s="1"/>
  <c r="E270" i="4" s="1"/>
  <c r="E271" i="4" s="1"/>
  <c r="E2913" i="4"/>
  <c r="E2911" i="4"/>
  <c r="D2909" i="4"/>
  <c r="E2909" i="4" s="1"/>
  <c r="E2906" i="4" s="1"/>
  <c r="E2905" i="4" s="1"/>
  <c r="E2939" i="4" s="1"/>
  <c r="D4690" i="4"/>
  <c r="E4680" i="4"/>
  <c r="E4693" i="4" s="1"/>
  <c r="D4539" i="4"/>
  <c r="E4539" i="4" s="1"/>
  <c r="E4537" i="4" s="1"/>
  <c r="E4529" i="4" s="1"/>
  <c r="E4563" i="4" s="1"/>
  <c r="E4541" i="4"/>
  <c r="C4417" i="4"/>
  <c r="E4412" i="4"/>
  <c r="E4433" i="4" s="1"/>
  <c r="C4027" i="4"/>
  <c r="E4023" i="4"/>
  <c r="E4044" i="4" s="1"/>
  <c r="E1938" i="4"/>
  <c r="E1930" i="4" s="1"/>
  <c r="E1964" i="4" s="1"/>
  <c r="E2133" i="4"/>
  <c r="E2125" i="4" s="1"/>
  <c r="E2159" i="4" s="1"/>
  <c r="C1882" i="4"/>
  <c r="E1878" i="4"/>
  <c r="E3503" i="4"/>
  <c r="E3524" i="4" s="1"/>
  <c r="C3507" i="4"/>
  <c r="E1561" i="4"/>
  <c r="E1748" i="4"/>
  <c r="E1769" i="4" s="1"/>
  <c r="E4347" i="4"/>
  <c r="E4368" i="4" s="1"/>
  <c r="E4737" i="4"/>
  <c r="C4741" i="4"/>
  <c r="E3308" i="4"/>
  <c r="E1574" i="4" l="1"/>
  <c r="E4758" i="4"/>
  <c r="E3329" i="4"/>
  <c r="E1899" i="4"/>
</calcChain>
</file>

<file path=xl/sharedStrings.xml><?xml version="1.0" encoding="utf-8"?>
<sst xmlns="http://schemas.openxmlformats.org/spreadsheetml/2006/main" count="6607" uniqueCount="205">
  <si>
    <t>Смета</t>
  </si>
  <si>
    <t>расходов на содержание и ремонт многоквартирного дома</t>
  </si>
  <si>
    <t>период : 2015 г.</t>
  </si>
  <si>
    <t>Техническая характеристика дома</t>
  </si>
  <si>
    <t>Жилая площадь</t>
  </si>
  <si>
    <t>Нежилая площадь</t>
  </si>
  <si>
    <t>Количество подъездов</t>
  </si>
  <si>
    <t>Количество этажей</t>
  </si>
  <si>
    <t>Количество квартир</t>
  </si>
  <si>
    <t>Количество жителей</t>
  </si>
  <si>
    <t>Количество лифтов</t>
  </si>
  <si>
    <t>Количество ДУ и ППА</t>
  </si>
  <si>
    <t>Количество ЗУМ</t>
  </si>
  <si>
    <t>S лестн. клет</t>
  </si>
  <si>
    <t>Адрес МКД:</t>
  </si>
  <si>
    <t>№ п/п</t>
  </si>
  <si>
    <t>РАСХОДЫ</t>
  </si>
  <si>
    <t>Количест- венный показатель</t>
  </si>
  <si>
    <t>Стоимостный показатель (руб.)</t>
  </si>
  <si>
    <t>Стоимость (руб.)</t>
  </si>
  <si>
    <t>Расходы эксплуатационных организаций по содержанию и ремонту жилищного фонда</t>
  </si>
  <si>
    <t>1.1.</t>
  </si>
  <si>
    <t>Расходы эксплуатационных организаций по санитарному содержанию жилищного фонда</t>
  </si>
  <si>
    <t>1.1.1.</t>
  </si>
  <si>
    <t>Оплата услуг специалистов</t>
  </si>
  <si>
    <t>1.1.1.1.</t>
  </si>
  <si>
    <t>Оплата услуг специалистов  (ед.)</t>
  </si>
  <si>
    <t>1.1.1.2.</t>
  </si>
  <si>
    <t>Начисления на зарплату  (%)</t>
  </si>
  <si>
    <t>1.1.1.3.</t>
  </si>
  <si>
    <t>Прочие расходы АУП РЭУ</t>
  </si>
  <si>
    <t>1.1.2.</t>
  </si>
  <si>
    <t>Содержание обслуживающего персонала</t>
  </si>
  <si>
    <t>1.1.2.1.</t>
  </si>
  <si>
    <t>Заработная плата уборщиков лестничных клеток  (ед.)</t>
  </si>
  <si>
    <t>1.1.2.2.</t>
  </si>
  <si>
    <t>Заработная плата уборщиков мусоропроводов  (ед.)</t>
  </si>
  <si>
    <t>1.1.2.3.</t>
  </si>
  <si>
    <t>Начисления на зарплату уборщиков лестн.клеток  (%)</t>
  </si>
  <si>
    <t>1.1.2.4.</t>
  </si>
  <si>
    <t>Начисления на зарплату уборщиков мусоропроводов  (%)</t>
  </si>
  <si>
    <t>1.1.2.5.</t>
  </si>
  <si>
    <t>Прочие расходы уборщиков л/к</t>
  </si>
  <si>
    <t>1.1.2.6.</t>
  </si>
  <si>
    <t>Прочие расходы уборщиков мусоропроводов</t>
  </si>
  <si>
    <t>1.2.</t>
  </si>
  <si>
    <t>Расходы эксплуатационных организаций по  ремонту жилищного фонда</t>
  </si>
  <si>
    <t>1.2.1.</t>
  </si>
  <si>
    <t>Заработная плата рабочих  (ед.)</t>
  </si>
  <si>
    <t>1.2.2.</t>
  </si>
  <si>
    <t>Начисления на з/п рабочих  (%)</t>
  </si>
  <si>
    <t>1.2.3.</t>
  </si>
  <si>
    <t>Материалы</t>
  </si>
  <si>
    <t>1.2.4.</t>
  </si>
  <si>
    <t>Прочие расходы РТР</t>
  </si>
  <si>
    <t>1.3.</t>
  </si>
  <si>
    <t>Рентабельность</t>
  </si>
  <si>
    <t>Расходы на содержание домохозяйства</t>
  </si>
  <si>
    <t>2.1.</t>
  </si>
  <si>
    <t>Вывоз и утилизация ТБО  (куб.м)</t>
  </si>
  <si>
    <t>2.2.</t>
  </si>
  <si>
    <t>Вывоз и обезвреживание КГМ  (куб.м)</t>
  </si>
  <si>
    <t>2.3.</t>
  </si>
  <si>
    <t>Дежурное освещение и силовая электроэнергия  (квтч)</t>
  </si>
  <si>
    <t>2.4.</t>
  </si>
  <si>
    <t>Холодная вода для нужд домохозяйства  (куб.м)</t>
  </si>
  <si>
    <t>2.5.</t>
  </si>
  <si>
    <t>Дератизация  (кв.м)</t>
  </si>
  <si>
    <t>2.6.</t>
  </si>
  <si>
    <t>Дезинсекция  (кв.м)</t>
  </si>
  <si>
    <t>2.7.</t>
  </si>
  <si>
    <t>Промывка стволов мусоропроводов  (пог.м)</t>
  </si>
  <si>
    <t>Расходы по текущему ремонту инженерного оборудования дома</t>
  </si>
  <si>
    <t>3.1.</t>
  </si>
  <si>
    <t>Техническое обслуживание лифтов  (шт.)</t>
  </si>
  <si>
    <t>3.2.</t>
  </si>
  <si>
    <t>Техническое обслуживание напольных бытовых электроплит  (шт.)</t>
  </si>
  <si>
    <t>3.3.</t>
  </si>
  <si>
    <t>Техническое обслуживание систем ДУ и ППА  (шт.)</t>
  </si>
  <si>
    <t>3.4.</t>
  </si>
  <si>
    <t>Аварийное обслуживание  (кв.м)</t>
  </si>
  <si>
    <t>3.5.</t>
  </si>
  <si>
    <t>Электроизмерительные работы  (точка)</t>
  </si>
  <si>
    <t>3.6.</t>
  </si>
  <si>
    <t>Техническое обслуживание вентканалов  (шт.)</t>
  </si>
  <si>
    <t>3.7.</t>
  </si>
  <si>
    <t>Тех.обслуживание автоматики расширительных баков  (шт.)</t>
  </si>
  <si>
    <t>3.8.</t>
  </si>
  <si>
    <t>Техническое обслуживание внутридомовых газопроводов  (ввод)</t>
  </si>
  <si>
    <t>3.9.</t>
  </si>
  <si>
    <t>Техническое обслуживание АСКУЭ  (квартира)</t>
  </si>
  <si>
    <t>3.10.</t>
  </si>
  <si>
    <t>Прочие работы</t>
  </si>
  <si>
    <t>Оплата услуг службы заказчика</t>
  </si>
  <si>
    <t>ВСЕГО РАСХОДОВ с учетом НДС</t>
  </si>
  <si>
    <t>ИТОГО стоимость обслуживания 1 кв.м в месяц</t>
  </si>
  <si>
    <t>Директор   ГБУ "Жилищник района Чертаново Северное"</t>
  </si>
  <si>
    <t>_____________________________ /  Сидорова Л.А.  /</t>
  </si>
  <si>
    <t>Кировоградская ул., д. 7</t>
  </si>
  <si>
    <t>Сумской пр-д, д. 2, к.5</t>
  </si>
  <si>
    <t>Приложение № _____  к договору управления МКД _________</t>
  </si>
  <si>
    <t>Техническое обслуживание напольных бытовых электроплит (шт.)</t>
  </si>
  <si>
    <t xml:space="preserve">              Балаклавский пр-т, д. 1</t>
  </si>
  <si>
    <t>Стоимостной показатель (руб.)</t>
  </si>
  <si>
    <t xml:space="preserve">                       Чертановская ул., д. 1, к.1</t>
  </si>
  <si>
    <t xml:space="preserve">                             Балаклавский пр-т, д. 3</t>
  </si>
  <si>
    <t xml:space="preserve">                       Варшавское шоссе, д.114, к.1</t>
  </si>
  <si>
    <t xml:space="preserve">                          Варшавское шоссе, д.114, к.2</t>
  </si>
  <si>
    <t xml:space="preserve">                                Варшавское шоссе, д.114, к.3</t>
  </si>
  <si>
    <t xml:space="preserve">                              Варшавское шоссе, д.114, к.4</t>
  </si>
  <si>
    <t xml:space="preserve">                                      Варшавское шоссе, д.124</t>
  </si>
  <si>
    <t xml:space="preserve">                                     Варшавское шоссе, д.126</t>
  </si>
  <si>
    <t xml:space="preserve">                                      Кировоградская ул., д. 4, к.1</t>
  </si>
  <si>
    <t xml:space="preserve">                          Кировоградская ул., д. 4, к.2</t>
  </si>
  <si>
    <t xml:space="preserve">                               Кировоградская ул., д. 4, к.3</t>
  </si>
  <si>
    <t xml:space="preserve">                                    Кировоградская ул., д. 4, к.4</t>
  </si>
  <si>
    <t xml:space="preserve">                                Кировоградская ул., д. 8, к.3</t>
  </si>
  <si>
    <t xml:space="preserve">                                 Кировоградская ул., д. 8, к.4</t>
  </si>
  <si>
    <t xml:space="preserve">                                      Кировоградская ул., д.12</t>
  </si>
  <si>
    <t xml:space="preserve">                                            Сумская ул., д.2/12</t>
  </si>
  <si>
    <t xml:space="preserve">                            Чертановская ул., д. 1В, к.1</t>
  </si>
  <si>
    <t>1.1.3.</t>
  </si>
  <si>
    <t>1.2.5.</t>
  </si>
  <si>
    <t>1.2.6.</t>
  </si>
  <si>
    <t>1.3.1.</t>
  </si>
  <si>
    <t>1.3.2.</t>
  </si>
  <si>
    <t>1.3.3.</t>
  </si>
  <si>
    <t>1.3.4.</t>
  </si>
  <si>
    <t>1.4.</t>
  </si>
  <si>
    <t>Эксплуатационные расходы по содержанию и ремонту жилищного фонда</t>
  </si>
  <si>
    <t xml:space="preserve">Прочие расходы </t>
  </si>
  <si>
    <t>Р А С Х О Д Ы</t>
  </si>
  <si>
    <t>Расходы по санитарному содержанию жилого фонда</t>
  </si>
  <si>
    <t xml:space="preserve">                             Чертановская ул., д. 7, к.1а</t>
  </si>
  <si>
    <t xml:space="preserve">                               Чертановская ул., д. 9, к.4</t>
  </si>
  <si>
    <t xml:space="preserve">                            Чертановская ул., д.16, к.2</t>
  </si>
  <si>
    <t xml:space="preserve">                            Чертановская ул., д.20, к.1</t>
  </si>
  <si>
    <t>Расходы по санитарному содержанию жилищного фонда</t>
  </si>
  <si>
    <t>Расходы по текущему ремонту ремонту жилищного фонда</t>
  </si>
  <si>
    <t xml:space="preserve">                                   Сумская ул., д. 6, к.1</t>
  </si>
  <si>
    <t xml:space="preserve">                                  Сумская ул., д. 6, к.5</t>
  </si>
  <si>
    <t xml:space="preserve">                                       Сумская ул., д. 8, к.1</t>
  </si>
  <si>
    <t xml:space="preserve">                                  Сумская ул., д. 8, к.2</t>
  </si>
  <si>
    <t xml:space="preserve">                                    Сумская ул., д. 8, к.3</t>
  </si>
  <si>
    <t xml:space="preserve">                                   Сумская ул., д.12, к.2</t>
  </si>
  <si>
    <t xml:space="preserve">                          Сумской пр-д, д. 2, к.1 (муницип)</t>
  </si>
  <si>
    <t xml:space="preserve">                                           Сумской пр-д, д. 3</t>
  </si>
  <si>
    <t xml:space="preserve">                                    Сумской пр-д, д. 3, к.1</t>
  </si>
  <si>
    <t xml:space="preserve">                                   Сумской пр-д, д. 3, к.2</t>
  </si>
  <si>
    <t xml:space="preserve">                                  Сумской пр-д, д. 4, к.1</t>
  </si>
  <si>
    <t xml:space="preserve">                                 Сумской пр-д, д. 4, к.4</t>
  </si>
  <si>
    <t xml:space="preserve">                                    Сумской пр-д, д. 5, к.2</t>
  </si>
  <si>
    <t xml:space="preserve">                                 Сумской пр-д, д. 5, к.3</t>
  </si>
  <si>
    <t xml:space="preserve">                                   Сумской пр-д, д. 6, к.1</t>
  </si>
  <si>
    <t xml:space="preserve">                                    Сумской пр-д, д. 7, к.1</t>
  </si>
  <si>
    <t xml:space="preserve">                                   Сумской пр-д, д. 8, к.1</t>
  </si>
  <si>
    <t xml:space="preserve">                              Сумской пр-д, д.10</t>
  </si>
  <si>
    <t xml:space="preserve">                                Сумской пр-д, д.12, к.1</t>
  </si>
  <si>
    <t xml:space="preserve">                                        Сумской пр-д, д.12, к.3</t>
  </si>
  <si>
    <t xml:space="preserve">                                    Сумской пр-д, д.13, к.2</t>
  </si>
  <si>
    <t xml:space="preserve">                                    Сумской пр-д, д.15, к.1</t>
  </si>
  <si>
    <t xml:space="preserve">                                   Сумской пр-д, д.15, к.2</t>
  </si>
  <si>
    <t xml:space="preserve">                                   Сумской пр-д, д.17, к.1</t>
  </si>
  <si>
    <t xml:space="preserve">                                    Сумской пр-д, д.17, к.2</t>
  </si>
  <si>
    <t xml:space="preserve">                                    Сумской пр-д, д.23, к.1</t>
  </si>
  <si>
    <t xml:space="preserve">                                    Сумской пр-д, д.23, к.2</t>
  </si>
  <si>
    <t xml:space="preserve">                                        Сумской пр-д, д.27</t>
  </si>
  <si>
    <t xml:space="preserve">                                          Сумской пр-д, д.29</t>
  </si>
  <si>
    <t xml:space="preserve">                                    Сумской пр-д, д.31, к.1</t>
  </si>
  <si>
    <t xml:space="preserve">                               Сумской пр-д, д.31, к.2</t>
  </si>
  <si>
    <t xml:space="preserve">                             Чертановская ул., д. 1, к.2</t>
  </si>
  <si>
    <t xml:space="preserve">                             Чертановская ул., д. 3, к.1</t>
  </si>
  <si>
    <t xml:space="preserve">                        Чертановская ул., д. 3, к.2</t>
  </si>
  <si>
    <t xml:space="preserve">                           Чертановская ул., д. 3, к.3</t>
  </si>
  <si>
    <t xml:space="preserve">                               Чертановская ул., д. 4</t>
  </si>
  <si>
    <t xml:space="preserve">                              Чертановская ул., д. 5, к.1</t>
  </si>
  <si>
    <t xml:space="preserve">                            Чертановская ул., д. 7, к.1</t>
  </si>
  <si>
    <t xml:space="preserve">                             Чертановская ул., д. 8</t>
  </si>
  <si>
    <t xml:space="preserve">                              Чертановская ул., д. 8, к.1</t>
  </si>
  <si>
    <t xml:space="preserve">                            Чертановская ул., д.11, к.1</t>
  </si>
  <si>
    <t xml:space="preserve">                               Чертановская ул., д.13</t>
  </si>
  <si>
    <t xml:space="preserve">                             Чертановская ул., д.14, к.1</t>
  </si>
  <si>
    <t xml:space="preserve">                                 Чертановская ул., д.15</t>
  </si>
  <si>
    <t xml:space="preserve">                                 Чертановская ул., д.16, к.1</t>
  </si>
  <si>
    <t xml:space="preserve">                                  Чертановская ул., д.18</t>
  </si>
  <si>
    <t xml:space="preserve">                           Чертановская ул., д.20, к.2</t>
  </si>
  <si>
    <t>1.1.4.</t>
  </si>
  <si>
    <t>1.1.5.</t>
  </si>
  <si>
    <t>1.1.6.</t>
  </si>
  <si>
    <t>Расходы по текущему ремонту ремонту жилого фонда</t>
  </si>
  <si>
    <t>Эксплуатационные расходы по содержанию и ремонту жилого фонда</t>
  </si>
  <si>
    <t xml:space="preserve">                      Сумской пр-д,  д. 25, к.1</t>
  </si>
  <si>
    <t xml:space="preserve">                                 Сумской пр-д,  д. 25, к.2</t>
  </si>
  <si>
    <t>Управленческие расходы предприятия</t>
  </si>
  <si>
    <t>Техническое обслуживание вентканалов  (кв.)</t>
  </si>
  <si>
    <t>Термическое обезвреживание (сжигание) ТБО  (куб.м.)</t>
  </si>
  <si>
    <t>Вывоз и утилизация  КГМ  (куб.м)</t>
  </si>
  <si>
    <t>период : 2019г.</t>
  </si>
  <si>
    <t>период : 2019 г.</t>
  </si>
  <si>
    <t xml:space="preserve">ИТОГО  стоимость  обслуживания  1 кв.м   жилой площади  в м-ц  </t>
  </si>
  <si>
    <t>период : 2019  г.</t>
  </si>
  <si>
    <t xml:space="preserve"> период : 2019 г.</t>
  </si>
  <si>
    <t>Техническое освидетельствование лифтового оборудования</t>
  </si>
  <si>
    <t>3.11.</t>
  </si>
  <si>
    <t>Вывоз твердых коммунальных отходов  (куб.м)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</si>
</sst>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7" formatCode="#,##0.0"/>
  </numFmts>
  <fonts count="8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0" fillId="0" borderId="0" xfId="0" applyNumberFormat="1" applyAlignment="1">
      <alignment horizontal="left"/>
    </xf>
    <xf numFmtId="4" fontId="6" fillId="0" borderId="1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3" borderId="0" xfId="0" applyFill="1" applyAlignment="1">
      <alignment horizontal="left"/>
    </xf>
    <xf numFmtId="4" fontId="0" fillId="3" borderId="0" xfId="0" applyNumberFormat="1" applyFill="1" applyAlignment="1">
      <alignment horizontal="left"/>
    </xf>
    <xf numFmtId="0" fontId="0" fillId="3" borderId="0" xfId="0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F4766"/>
  <sheetViews>
    <sheetView tabSelected="1" topLeftCell="A542" workbookViewId="0">
      <selection activeCell="G3336" sqref="G3336"/>
    </sheetView>
  </sheetViews>
  <sheetFormatPr defaultColWidth="13.28515625" defaultRowHeight="11.4" customHeight="1" x14ac:dyDescent="0.2"/>
  <cols>
    <col min="1" max="1" width="12" style="1" customWidth="1"/>
    <col min="2" max="2" width="63.140625" style="1" customWidth="1"/>
    <col min="3" max="3" width="12.140625" style="18" customWidth="1"/>
    <col min="4" max="4" width="14.28515625" style="18" customWidth="1"/>
    <col min="5" max="5" width="17" style="18" customWidth="1"/>
    <col min="6" max="6" width="15" style="18" customWidth="1"/>
    <col min="7" max="7" width="17" customWidth="1"/>
  </cols>
  <sheetData>
    <row r="1" spans="1:5" ht="12" hidden="1" customHeight="1" x14ac:dyDescent="0.25">
      <c r="B1" s="41" t="s">
        <v>100</v>
      </c>
      <c r="C1" s="41"/>
      <c r="D1" s="41"/>
      <c r="E1" s="41"/>
    </row>
    <row r="2" spans="1:5" ht="10.95" hidden="1" customHeight="1" x14ac:dyDescent="0.2"/>
    <row r="3" spans="1:5" ht="10.95" hidden="1" customHeight="1" x14ac:dyDescent="0.2"/>
    <row r="4" spans="1:5" ht="10.95" hidden="1" customHeight="1" x14ac:dyDescent="0.2"/>
    <row r="5" spans="1:5" ht="16.2" hidden="1" customHeight="1" x14ac:dyDescent="0.2">
      <c r="A5" s="39" t="s">
        <v>0</v>
      </c>
      <c r="B5" s="39"/>
      <c r="C5" s="39"/>
      <c r="D5" s="39"/>
      <c r="E5" s="39"/>
    </row>
    <row r="6" spans="1:5" ht="10.95" hidden="1" customHeight="1" x14ac:dyDescent="0.2">
      <c r="A6" s="40" t="s">
        <v>1</v>
      </c>
      <c r="B6" s="40"/>
      <c r="C6" s="40"/>
      <c r="D6" s="40"/>
      <c r="E6" s="40"/>
    </row>
    <row r="7" spans="1:5" ht="13.2" hidden="1" customHeight="1" x14ac:dyDescent="0.2">
      <c r="A7" s="40" t="s">
        <v>2</v>
      </c>
      <c r="B7" s="40"/>
      <c r="C7" s="40"/>
      <c r="D7" s="40"/>
      <c r="E7" s="40"/>
    </row>
    <row r="8" spans="1:5" ht="10.95" hidden="1" customHeight="1" x14ac:dyDescent="0.2"/>
    <row r="9" spans="1:5" ht="10.95" hidden="1" customHeight="1" x14ac:dyDescent="0.2">
      <c r="C9" s="42" t="s">
        <v>3</v>
      </c>
      <c r="D9" s="42"/>
      <c r="E9" s="42"/>
    </row>
    <row r="10" spans="1:5" ht="12" hidden="1" customHeight="1" x14ac:dyDescent="0.2">
      <c r="D10" s="26" t="s">
        <v>4</v>
      </c>
      <c r="E10" s="23">
        <v>21698.7</v>
      </c>
    </row>
    <row r="11" spans="1:5" ht="12" hidden="1" customHeight="1" x14ac:dyDescent="0.2">
      <c r="D11" s="26" t="s">
        <v>5</v>
      </c>
      <c r="E11" s="23">
        <v>720.6</v>
      </c>
    </row>
    <row r="12" spans="1:5" ht="12" hidden="1" customHeight="1" x14ac:dyDescent="0.2">
      <c r="D12" s="26" t="s">
        <v>6</v>
      </c>
      <c r="E12" s="23">
        <v>6</v>
      </c>
    </row>
    <row r="13" spans="1:5" ht="12" hidden="1" customHeight="1" x14ac:dyDescent="0.2">
      <c r="D13" s="26" t="s">
        <v>7</v>
      </c>
      <c r="E13" s="23">
        <v>17</v>
      </c>
    </row>
    <row r="14" spans="1:5" ht="12" hidden="1" customHeight="1" x14ac:dyDescent="0.2">
      <c r="D14" s="26" t="s">
        <v>8</v>
      </c>
      <c r="E14" s="23">
        <v>395</v>
      </c>
    </row>
    <row r="15" spans="1:5" ht="12" hidden="1" customHeight="1" x14ac:dyDescent="0.2">
      <c r="D15" s="26" t="s">
        <v>9</v>
      </c>
      <c r="E15" s="23">
        <v>828</v>
      </c>
    </row>
    <row r="16" spans="1:5" ht="12" hidden="1" customHeight="1" x14ac:dyDescent="0.2">
      <c r="D16" s="26" t="s">
        <v>10</v>
      </c>
      <c r="E16" s="23">
        <v>12</v>
      </c>
    </row>
    <row r="17" spans="1:5" ht="12" hidden="1" customHeight="1" x14ac:dyDescent="0.2">
      <c r="D17" s="26" t="s">
        <v>11</v>
      </c>
      <c r="E17" s="23">
        <v>6</v>
      </c>
    </row>
    <row r="18" spans="1:5" ht="12" hidden="1" customHeight="1" x14ac:dyDescent="0.2">
      <c r="D18" s="26" t="s">
        <v>12</v>
      </c>
      <c r="E18" s="23">
        <v>0</v>
      </c>
    </row>
    <row r="19" spans="1:5" ht="12" hidden="1" customHeight="1" x14ac:dyDescent="0.2">
      <c r="D19" s="26" t="s">
        <v>13</v>
      </c>
      <c r="E19" s="23">
        <v>4246</v>
      </c>
    </row>
    <row r="20" spans="1:5" ht="12" hidden="1" customHeight="1" x14ac:dyDescent="0.25">
      <c r="A20" s="2" t="s">
        <v>14</v>
      </c>
      <c r="B20" s="3" t="s">
        <v>102</v>
      </c>
    </row>
    <row r="21" spans="1:5" ht="10.95" hidden="1" customHeight="1" x14ac:dyDescent="0.2"/>
    <row r="22" spans="1:5" ht="45" hidden="1" customHeight="1" x14ac:dyDescent="0.2">
      <c r="A22" s="4" t="s">
        <v>15</v>
      </c>
      <c r="B22" s="4" t="s">
        <v>16</v>
      </c>
      <c r="C22" s="27" t="s">
        <v>17</v>
      </c>
      <c r="D22" s="27" t="s">
        <v>103</v>
      </c>
      <c r="E22" s="27" t="s">
        <v>19</v>
      </c>
    </row>
    <row r="23" spans="1:5" ht="24" hidden="1" customHeight="1" x14ac:dyDescent="0.2">
      <c r="A23" s="5">
        <v>1</v>
      </c>
      <c r="B23" s="6" t="s">
        <v>129</v>
      </c>
      <c r="C23" s="16"/>
      <c r="D23" s="16"/>
      <c r="E23" s="17">
        <f>E24+E28+E35+E40</f>
        <v>3538102.44</v>
      </c>
    </row>
    <row r="24" spans="1:5" ht="11.25" hidden="1" customHeight="1" x14ac:dyDescent="0.2">
      <c r="A24" s="7" t="s">
        <v>21</v>
      </c>
      <c r="B24" s="6" t="s">
        <v>24</v>
      </c>
      <c r="C24" s="16"/>
      <c r="D24" s="16"/>
      <c r="E24" s="17">
        <f>E25+E26+E27</f>
        <v>250894.08000000002</v>
      </c>
    </row>
    <row r="25" spans="1:5" ht="11.25" hidden="1" customHeight="1" x14ac:dyDescent="0.2">
      <c r="A25" s="8" t="s">
        <v>23</v>
      </c>
      <c r="B25" s="9" t="s">
        <v>26</v>
      </c>
      <c r="C25" s="16">
        <v>0.96</v>
      </c>
      <c r="D25" s="16">
        <v>14500</v>
      </c>
      <c r="E25" s="16">
        <f>ROUND(C25*D25,2)*12</f>
        <v>167040</v>
      </c>
    </row>
    <row r="26" spans="1:5" ht="11.25" hidden="1" customHeight="1" x14ac:dyDescent="0.2">
      <c r="A26" s="8" t="s">
        <v>31</v>
      </c>
      <c r="B26" s="9" t="s">
        <v>28</v>
      </c>
      <c r="C26" s="16">
        <v>30.2</v>
      </c>
      <c r="D26" s="16">
        <f>E25</f>
        <v>167040</v>
      </c>
      <c r="E26" s="16">
        <f>ROUND(C26*D26/100,2)</f>
        <v>50446.080000000002</v>
      </c>
    </row>
    <row r="27" spans="1:5" ht="11.25" hidden="1" customHeight="1" x14ac:dyDescent="0.2">
      <c r="A27" s="8" t="s">
        <v>121</v>
      </c>
      <c r="B27" s="9" t="s">
        <v>130</v>
      </c>
      <c r="C27" s="16"/>
      <c r="D27" s="16"/>
      <c r="E27" s="16">
        <v>33408</v>
      </c>
    </row>
    <row r="28" spans="1:5" ht="11.25" hidden="1" customHeight="1" x14ac:dyDescent="0.2">
      <c r="A28" s="7" t="s">
        <v>45</v>
      </c>
      <c r="B28" s="6" t="s">
        <v>32</v>
      </c>
      <c r="C28" s="16"/>
      <c r="D28" s="16"/>
      <c r="E28" s="17">
        <f>E29+E30+E31+E32+E33+E34</f>
        <v>1839367.92</v>
      </c>
    </row>
    <row r="29" spans="1:5" ht="11.25" hidden="1" customHeight="1" x14ac:dyDescent="0.2">
      <c r="A29" s="8" t="s">
        <v>47</v>
      </c>
      <c r="B29" s="9" t="s">
        <v>34</v>
      </c>
      <c r="C29" s="16">
        <v>5.64</v>
      </c>
      <c r="D29" s="16">
        <v>14500</v>
      </c>
      <c r="E29" s="16">
        <f>ROUND(C29*D29,2)*12</f>
        <v>981360</v>
      </c>
    </row>
    <row r="30" spans="1:5" ht="11.25" hidden="1" customHeight="1" x14ac:dyDescent="0.2">
      <c r="A30" s="8" t="s">
        <v>49</v>
      </c>
      <c r="B30" s="9" t="s">
        <v>36</v>
      </c>
      <c r="C30" s="16">
        <v>1.9</v>
      </c>
      <c r="D30" s="16">
        <v>14500</v>
      </c>
      <c r="E30" s="16">
        <f>ROUND(C30*D30,2)*12</f>
        <v>330600</v>
      </c>
    </row>
    <row r="31" spans="1:5" ht="11.25" hidden="1" customHeight="1" x14ac:dyDescent="0.2">
      <c r="A31" s="8" t="s">
        <v>51</v>
      </c>
      <c r="B31" s="9" t="s">
        <v>38</v>
      </c>
      <c r="C31" s="16">
        <v>30.2</v>
      </c>
      <c r="D31" s="16">
        <f>E29</f>
        <v>981360</v>
      </c>
      <c r="E31" s="16">
        <f>ROUND(C31*D31/100,2)</f>
        <v>296370.71999999997</v>
      </c>
    </row>
    <row r="32" spans="1:5" ht="11.25" hidden="1" customHeight="1" x14ac:dyDescent="0.2">
      <c r="A32" s="8" t="s">
        <v>53</v>
      </c>
      <c r="B32" s="9" t="s">
        <v>40</v>
      </c>
      <c r="C32" s="16">
        <v>30.2</v>
      </c>
      <c r="D32" s="16">
        <f>E30</f>
        <v>330600</v>
      </c>
      <c r="E32" s="16">
        <f>ROUND(C32*D32/100,2)</f>
        <v>99841.2</v>
      </c>
    </row>
    <row r="33" spans="1:5" ht="11.25" hidden="1" customHeight="1" x14ac:dyDescent="0.2">
      <c r="A33" s="8" t="s">
        <v>122</v>
      </c>
      <c r="B33" s="9" t="s">
        <v>42</v>
      </c>
      <c r="C33" s="16"/>
      <c r="D33" s="16"/>
      <c r="E33" s="16">
        <v>98136</v>
      </c>
    </row>
    <row r="34" spans="1:5" ht="11.25" hidden="1" customHeight="1" x14ac:dyDescent="0.2">
      <c r="A34" s="8" t="s">
        <v>123</v>
      </c>
      <c r="B34" s="9" t="s">
        <v>44</v>
      </c>
      <c r="C34" s="16"/>
      <c r="D34" s="16"/>
      <c r="E34" s="16">
        <v>33060</v>
      </c>
    </row>
    <row r="35" spans="1:5" ht="24" hidden="1" customHeight="1" x14ac:dyDescent="0.2">
      <c r="A35" s="7" t="s">
        <v>55</v>
      </c>
      <c r="B35" s="6" t="s">
        <v>46</v>
      </c>
      <c r="C35" s="16"/>
      <c r="D35" s="16"/>
      <c r="E35" s="17">
        <f>E36+E37+E38+E39</f>
        <v>1279359.3599999999</v>
      </c>
    </row>
    <row r="36" spans="1:5" ht="11.25" hidden="1" customHeight="1" x14ac:dyDescent="0.2">
      <c r="A36" s="8" t="s">
        <v>124</v>
      </c>
      <c r="B36" s="9" t="s">
        <v>48</v>
      </c>
      <c r="C36" s="16">
        <f>E36/12/D36</f>
        <v>4.32</v>
      </c>
      <c r="D36" s="16">
        <v>14500</v>
      </c>
      <c r="E36" s="16">
        <v>751680</v>
      </c>
    </row>
    <row r="37" spans="1:5" ht="11.25" hidden="1" customHeight="1" x14ac:dyDescent="0.2">
      <c r="A37" s="8" t="s">
        <v>125</v>
      </c>
      <c r="B37" s="9" t="s">
        <v>50</v>
      </c>
      <c r="C37" s="16">
        <v>30.2</v>
      </c>
      <c r="D37" s="16">
        <f>E36</f>
        <v>751680</v>
      </c>
      <c r="E37" s="16">
        <f>ROUND(C37*D37/100,2)</f>
        <v>227007.35999999999</v>
      </c>
    </row>
    <row r="38" spans="1:5" ht="11.25" hidden="1" customHeight="1" x14ac:dyDescent="0.2">
      <c r="A38" s="8" t="s">
        <v>126</v>
      </c>
      <c r="B38" s="9" t="s">
        <v>52</v>
      </c>
      <c r="C38" s="16"/>
      <c r="D38" s="16"/>
      <c r="E38" s="16">
        <v>225504</v>
      </c>
    </row>
    <row r="39" spans="1:5" ht="11.25" hidden="1" customHeight="1" x14ac:dyDescent="0.2">
      <c r="A39" s="8" t="s">
        <v>127</v>
      </c>
      <c r="B39" s="9" t="s">
        <v>54</v>
      </c>
      <c r="C39" s="16"/>
      <c r="D39" s="16"/>
      <c r="E39" s="16">
        <v>75168</v>
      </c>
    </row>
    <row r="40" spans="1:5" ht="12" hidden="1" customHeight="1" x14ac:dyDescent="0.2">
      <c r="A40" s="7" t="s">
        <v>128</v>
      </c>
      <c r="B40" s="6" t="s">
        <v>56</v>
      </c>
      <c r="C40" s="16"/>
      <c r="D40" s="16"/>
      <c r="E40" s="17">
        <v>168481.08</v>
      </c>
    </row>
    <row r="41" spans="1:5" ht="15" hidden="1" customHeight="1" x14ac:dyDescent="0.2">
      <c r="A41" s="5">
        <v>2</v>
      </c>
      <c r="B41" s="6" t="s">
        <v>57</v>
      </c>
      <c r="C41" s="16"/>
      <c r="D41" s="16"/>
      <c r="E41" s="17">
        <f>E42+E43+E44+E45+E46+E47+E48</f>
        <v>983930.27999999991</v>
      </c>
    </row>
    <row r="42" spans="1:5" ht="11.25" hidden="1" customHeight="1" x14ac:dyDescent="0.2">
      <c r="A42" s="8" t="s">
        <v>58</v>
      </c>
      <c r="B42" s="9" t="s">
        <v>59</v>
      </c>
      <c r="C42" s="16">
        <v>1200.5999999999999</v>
      </c>
      <c r="D42" s="16">
        <v>230.13</v>
      </c>
      <c r="E42" s="16">
        <v>276297.76</v>
      </c>
    </row>
    <row r="43" spans="1:5" ht="11.25" hidden="1" customHeight="1" x14ac:dyDescent="0.2">
      <c r="A43" s="8" t="s">
        <v>60</v>
      </c>
      <c r="B43" s="9" t="s">
        <v>61</v>
      </c>
      <c r="C43" s="16">
        <v>380.88</v>
      </c>
      <c r="D43" s="16">
        <v>499.89</v>
      </c>
      <c r="E43" s="16">
        <v>190400</v>
      </c>
    </row>
    <row r="44" spans="1:5" ht="11.25" hidden="1" customHeight="1" x14ac:dyDescent="0.2">
      <c r="A44" s="8" t="s">
        <v>62</v>
      </c>
      <c r="B44" s="9" t="s">
        <v>63</v>
      </c>
      <c r="C44" s="16">
        <v>132172</v>
      </c>
      <c r="D44" s="16">
        <v>2.44</v>
      </c>
      <c r="E44" s="16">
        <v>322499.68</v>
      </c>
    </row>
    <row r="45" spans="1:5" ht="11.25" hidden="1" customHeight="1" x14ac:dyDescent="0.2">
      <c r="A45" s="8" t="s">
        <v>64</v>
      </c>
      <c r="B45" s="9" t="s">
        <v>65</v>
      </c>
      <c r="C45" s="16">
        <v>1909.99</v>
      </c>
      <c r="D45" s="16">
        <v>56.07</v>
      </c>
      <c r="E45" s="16">
        <v>107098.1</v>
      </c>
    </row>
    <row r="46" spans="1:5" ht="11.25" hidden="1" customHeight="1" x14ac:dyDescent="0.2">
      <c r="A46" s="8" t="s">
        <v>66</v>
      </c>
      <c r="B46" s="9" t="s">
        <v>67</v>
      </c>
      <c r="C46" s="16">
        <v>1908.4</v>
      </c>
      <c r="D46" s="16">
        <v>12.89</v>
      </c>
      <c r="E46" s="16">
        <v>24590.880000000001</v>
      </c>
    </row>
    <row r="47" spans="1:5" ht="11.25" hidden="1" customHeight="1" x14ac:dyDescent="0.2">
      <c r="A47" s="8" t="s">
        <v>68</v>
      </c>
      <c r="B47" s="9" t="s">
        <v>69</v>
      </c>
      <c r="C47" s="16">
        <v>1908.4</v>
      </c>
      <c r="D47" s="16">
        <v>6.93</v>
      </c>
      <c r="E47" s="16">
        <v>13218.72</v>
      </c>
    </row>
    <row r="48" spans="1:5" ht="11.25" hidden="1" customHeight="1" x14ac:dyDescent="0.2">
      <c r="A48" s="8" t="s">
        <v>70</v>
      </c>
      <c r="B48" s="9" t="s">
        <v>71</v>
      </c>
      <c r="C48" s="16">
        <v>268.26</v>
      </c>
      <c r="D48" s="16">
        <v>185.73</v>
      </c>
      <c r="E48" s="16">
        <v>49825.14</v>
      </c>
    </row>
    <row r="49" spans="1:5" ht="24" hidden="1" customHeight="1" x14ac:dyDescent="0.2">
      <c r="A49" s="5">
        <v>3</v>
      </c>
      <c r="B49" s="6" t="s">
        <v>72</v>
      </c>
      <c r="C49" s="16"/>
      <c r="D49" s="16"/>
      <c r="E49" s="17">
        <f>E50+E51+E52+E53+E54+E55+E56+E57+E58+E59</f>
        <v>2484817.5100000002</v>
      </c>
    </row>
    <row r="50" spans="1:5" ht="11.25" hidden="1" customHeight="1" x14ac:dyDescent="0.2">
      <c r="A50" s="8" t="s">
        <v>73</v>
      </c>
      <c r="B50" s="9" t="s">
        <v>74</v>
      </c>
      <c r="C50" s="16">
        <v>12</v>
      </c>
      <c r="D50" s="16">
        <v>77937.77</v>
      </c>
      <c r="E50" s="16">
        <v>935253.27</v>
      </c>
    </row>
    <row r="51" spans="1:5" ht="11.25" hidden="1" customHeight="1" x14ac:dyDescent="0.2">
      <c r="A51" s="8" t="s">
        <v>75</v>
      </c>
      <c r="B51" s="9" t="s">
        <v>101</v>
      </c>
      <c r="C51" s="16">
        <v>395</v>
      </c>
      <c r="D51" s="16">
        <v>208.96</v>
      </c>
      <c r="E51" s="16">
        <v>82539.78</v>
      </c>
    </row>
    <row r="52" spans="1:5" ht="11.25" hidden="1" customHeight="1" x14ac:dyDescent="0.2">
      <c r="A52" s="8" t="s">
        <v>77</v>
      </c>
      <c r="B52" s="9" t="s">
        <v>78</v>
      </c>
      <c r="C52" s="16">
        <v>6</v>
      </c>
      <c r="D52" s="16">
        <v>117901.4</v>
      </c>
      <c r="E52" s="16">
        <v>707408.4</v>
      </c>
    </row>
    <row r="53" spans="1:5" ht="11.25" hidden="1" customHeight="1" x14ac:dyDescent="0.2">
      <c r="A53" s="8" t="s">
        <v>79</v>
      </c>
      <c r="B53" s="9" t="s">
        <v>80</v>
      </c>
      <c r="C53" s="16">
        <v>21698.7</v>
      </c>
      <c r="D53" s="16">
        <v>6.07</v>
      </c>
      <c r="E53" s="16">
        <v>131632.56</v>
      </c>
    </row>
    <row r="54" spans="1:5" ht="11.25" hidden="1" customHeight="1" x14ac:dyDescent="0.2">
      <c r="A54" s="8" t="s">
        <v>81</v>
      </c>
      <c r="B54" s="9" t="s">
        <v>82</v>
      </c>
      <c r="C54" s="16">
        <v>964</v>
      </c>
      <c r="D54" s="16">
        <v>86.77</v>
      </c>
      <c r="E54" s="16">
        <v>83642.490000000005</v>
      </c>
    </row>
    <row r="55" spans="1:5" ht="11.25" hidden="1" customHeight="1" x14ac:dyDescent="0.2">
      <c r="A55" s="8" t="s">
        <v>83</v>
      </c>
      <c r="B55" s="9" t="s">
        <v>84</v>
      </c>
      <c r="C55" s="16">
        <v>136</v>
      </c>
      <c r="D55" s="16">
        <v>269.20999999999998</v>
      </c>
      <c r="E55" s="16">
        <v>36612.32</v>
      </c>
    </row>
    <row r="56" spans="1:5" ht="11.25" hidden="1" customHeight="1" x14ac:dyDescent="0.2">
      <c r="A56" s="8" t="s">
        <v>85</v>
      </c>
      <c r="B56" s="9" t="s">
        <v>86</v>
      </c>
      <c r="C56" s="16">
        <v>0.5</v>
      </c>
      <c r="D56" s="16">
        <v>25357.599999999999</v>
      </c>
      <c r="E56" s="16">
        <v>12678.8</v>
      </c>
    </row>
    <row r="57" spans="1:5" ht="11.25" hidden="1" customHeight="1" x14ac:dyDescent="0.2">
      <c r="A57" s="8" t="s">
        <v>87</v>
      </c>
      <c r="B57" s="9" t="s">
        <v>88</v>
      </c>
      <c r="C57" s="16"/>
      <c r="D57" s="16"/>
      <c r="E57" s="16">
        <v>0</v>
      </c>
    </row>
    <row r="58" spans="1:5" ht="11.25" hidden="1" customHeight="1" x14ac:dyDescent="0.2">
      <c r="A58" s="8" t="s">
        <v>89</v>
      </c>
      <c r="B58" s="9" t="s">
        <v>90</v>
      </c>
      <c r="C58" s="16"/>
      <c r="D58" s="16"/>
      <c r="E58" s="16">
        <v>0</v>
      </c>
    </row>
    <row r="59" spans="1:5" ht="11.25" hidden="1" customHeight="1" x14ac:dyDescent="0.2">
      <c r="A59" s="8" t="s">
        <v>91</v>
      </c>
      <c r="B59" s="9" t="s">
        <v>92</v>
      </c>
      <c r="C59" s="16"/>
      <c r="D59" s="16"/>
      <c r="E59" s="16">
        <v>495049.89</v>
      </c>
    </row>
    <row r="60" spans="1:5" ht="15" hidden="1" customHeight="1" x14ac:dyDescent="0.2">
      <c r="A60" s="5">
        <v>4</v>
      </c>
      <c r="B60" s="6" t="s">
        <v>93</v>
      </c>
      <c r="C60" s="16"/>
      <c r="D60" s="16"/>
      <c r="E60" s="17">
        <v>580657.21</v>
      </c>
    </row>
    <row r="61" spans="1:5" ht="15" hidden="1" customHeight="1" x14ac:dyDescent="0.2">
      <c r="A61" s="10"/>
      <c r="B61" s="11" t="s">
        <v>94</v>
      </c>
      <c r="C61" s="21"/>
      <c r="D61" s="21"/>
      <c r="E61" s="28">
        <f>E23+E41+E49+E60</f>
        <v>7587507.4400000004</v>
      </c>
    </row>
    <row r="62" spans="1:5" ht="11.25" hidden="1" customHeight="1" x14ac:dyDescent="0.25">
      <c r="A62" s="10"/>
      <c r="B62" s="11" t="s">
        <v>95</v>
      </c>
      <c r="C62" s="21"/>
      <c r="D62" s="21"/>
      <c r="E62" s="22">
        <f>ROUND(ROUND(E61/12,2)/E10,2)</f>
        <v>29.14</v>
      </c>
    </row>
    <row r="63" spans="1:5" ht="10.95" hidden="1" customHeight="1" x14ac:dyDescent="0.2">
      <c r="E63" s="18">
        <v>24.53</v>
      </c>
    </row>
    <row r="64" spans="1:5" ht="10.95" hidden="1" customHeight="1" x14ac:dyDescent="0.2"/>
    <row r="65" spans="1:5" ht="10.95" hidden="1" customHeight="1" x14ac:dyDescent="0.2"/>
    <row r="66" spans="1:5" ht="10.95" hidden="1" customHeight="1" x14ac:dyDescent="0.2"/>
    <row r="67" spans="1:5" ht="15" hidden="1" customHeight="1" x14ac:dyDescent="0.25">
      <c r="B67" s="12" t="s">
        <v>96</v>
      </c>
    </row>
    <row r="68" spans="1:5" ht="12" hidden="1" customHeight="1" x14ac:dyDescent="0.2"/>
    <row r="69" spans="1:5" ht="13.2" hidden="1" customHeight="1" x14ac:dyDescent="0.25">
      <c r="B69" s="3" t="s">
        <v>97</v>
      </c>
    </row>
    <row r="70" spans="1:5" ht="7.95" hidden="1" customHeight="1" x14ac:dyDescent="0.2"/>
    <row r="71" spans="1:5" ht="12" hidden="1" customHeight="1" x14ac:dyDescent="0.25">
      <c r="B71" s="41" t="s">
        <v>100</v>
      </c>
      <c r="C71" s="41"/>
      <c r="D71" s="41"/>
      <c r="E71" s="41"/>
    </row>
    <row r="72" spans="1:5" ht="10.95" hidden="1" customHeight="1" x14ac:dyDescent="0.2"/>
    <row r="73" spans="1:5" ht="10.95" hidden="1" customHeight="1" x14ac:dyDescent="0.2"/>
    <row r="74" spans="1:5" ht="10.95" hidden="1" customHeight="1" x14ac:dyDescent="0.2"/>
    <row r="75" spans="1:5" ht="16.2" hidden="1" customHeight="1" x14ac:dyDescent="0.2">
      <c r="A75" s="39" t="s">
        <v>0</v>
      </c>
      <c r="B75" s="39"/>
      <c r="C75" s="39"/>
      <c r="D75" s="39"/>
      <c r="E75" s="39"/>
    </row>
    <row r="76" spans="1:5" ht="10.95" hidden="1" customHeight="1" x14ac:dyDescent="0.2">
      <c r="A76" s="40" t="s">
        <v>1</v>
      </c>
      <c r="B76" s="40"/>
      <c r="C76" s="40"/>
      <c r="D76" s="40"/>
      <c r="E76" s="40"/>
    </row>
    <row r="77" spans="1:5" ht="13.2" hidden="1" customHeight="1" x14ac:dyDescent="0.2">
      <c r="A77" s="40" t="s">
        <v>2</v>
      </c>
      <c r="B77" s="40"/>
      <c r="C77" s="40"/>
      <c r="D77" s="40"/>
      <c r="E77" s="40"/>
    </row>
    <row r="78" spans="1:5" ht="10.95" hidden="1" customHeight="1" x14ac:dyDescent="0.2"/>
    <row r="79" spans="1:5" ht="10.95" hidden="1" customHeight="1" x14ac:dyDescent="0.2">
      <c r="C79" s="42" t="s">
        <v>3</v>
      </c>
      <c r="D79" s="42"/>
      <c r="E79" s="42"/>
    </row>
    <row r="80" spans="1:5" ht="12" hidden="1" customHeight="1" x14ac:dyDescent="0.2">
      <c r="D80" s="26" t="s">
        <v>4</v>
      </c>
      <c r="E80" s="23">
        <v>32843.699999999997</v>
      </c>
    </row>
    <row r="81" spans="1:5" ht="12" hidden="1" customHeight="1" x14ac:dyDescent="0.2">
      <c r="D81" s="26" t="s">
        <v>5</v>
      </c>
      <c r="E81" s="23">
        <v>789.7</v>
      </c>
    </row>
    <row r="82" spans="1:5" ht="12" hidden="1" customHeight="1" x14ac:dyDescent="0.2">
      <c r="D82" s="26" t="s">
        <v>6</v>
      </c>
      <c r="E82" s="23">
        <v>9</v>
      </c>
    </row>
    <row r="83" spans="1:5" ht="12" hidden="1" customHeight="1" x14ac:dyDescent="0.2">
      <c r="D83" s="26" t="s">
        <v>7</v>
      </c>
      <c r="E83" s="23">
        <v>17</v>
      </c>
    </row>
    <row r="84" spans="1:5" ht="12" hidden="1" customHeight="1" x14ac:dyDescent="0.2">
      <c r="D84" s="26" t="s">
        <v>8</v>
      </c>
      <c r="E84" s="23">
        <v>598</v>
      </c>
    </row>
    <row r="85" spans="1:5" ht="12" hidden="1" customHeight="1" x14ac:dyDescent="0.2">
      <c r="D85" s="26" t="s">
        <v>9</v>
      </c>
      <c r="E85" s="23">
        <v>1286</v>
      </c>
    </row>
    <row r="86" spans="1:5" ht="12" hidden="1" customHeight="1" x14ac:dyDescent="0.2">
      <c r="D86" s="26" t="s">
        <v>10</v>
      </c>
      <c r="E86" s="23">
        <v>18</v>
      </c>
    </row>
    <row r="87" spans="1:5" ht="12" hidden="1" customHeight="1" x14ac:dyDescent="0.2">
      <c r="D87" s="26" t="s">
        <v>11</v>
      </c>
      <c r="E87" s="23">
        <v>9</v>
      </c>
    </row>
    <row r="88" spans="1:5" ht="12" hidden="1" customHeight="1" x14ac:dyDescent="0.2">
      <c r="D88" s="26" t="s">
        <v>12</v>
      </c>
      <c r="E88" s="23">
        <v>0</v>
      </c>
    </row>
    <row r="89" spans="1:5" ht="12" hidden="1" customHeight="1" x14ac:dyDescent="0.2">
      <c r="D89" s="26" t="s">
        <v>13</v>
      </c>
      <c r="E89" s="23">
        <v>6490</v>
      </c>
    </row>
    <row r="90" spans="1:5" ht="12" hidden="1" customHeight="1" x14ac:dyDescent="0.25">
      <c r="A90" s="2" t="s">
        <v>14</v>
      </c>
      <c r="B90" s="3" t="s">
        <v>105</v>
      </c>
    </row>
    <row r="91" spans="1:5" ht="10.95" hidden="1" customHeight="1" x14ac:dyDescent="0.2"/>
    <row r="92" spans="1:5" ht="45" hidden="1" customHeight="1" x14ac:dyDescent="0.2">
      <c r="A92" s="4" t="s">
        <v>15</v>
      </c>
      <c r="B92" s="4" t="s">
        <v>16</v>
      </c>
      <c r="C92" s="27" t="s">
        <v>17</v>
      </c>
      <c r="D92" s="27" t="s">
        <v>18</v>
      </c>
      <c r="E92" s="27" t="s">
        <v>19</v>
      </c>
    </row>
    <row r="93" spans="1:5" ht="11.25" hidden="1" customHeight="1" x14ac:dyDescent="0.2">
      <c r="A93" s="5">
        <v>1</v>
      </c>
      <c r="B93" s="6" t="s">
        <v>20</v>
      </c>
      <c r="C93" s="16"/>
      <c r="D93" s="16"/>
      <c r="E93" s="17">
        <f>E94+E106+E111</f>
        <v>5520295.2000000002</v>
      </c>
    </row>
    <row r="94" spans="1:5" ht="11.25" hidden="1" customHeight="1" x14ac:dyDescent="0.2">
      <c r="A94" s="7" t="s">
        <v>21</v>
      </c>
      <c r="B94" s="6" t="s">
        <v>22</v>
      </c>
      <c r="C94" s="16"/>
      <c r="D94" s="16"/>
      <c r="E94" s="17">
        <f>E95+E99</f>
        <v>3308770.08</v>
      </c>
    </row>
    <row r="95" spans="1:5" ht="11.25" hidden="1" customHeight="1" x14ac:dyDescent="0.2">
      <c r="A95" s="7" t="s">
        <v>23</v>
      </c>
      <c r="B95" s="6" t="s">
        <v>24</v>
      </c>
      <c r="C95" s="16"/>
      <c r="D95" s="16"/>
      <c r="E95" s="17">
        <f>E96+E97+E98</f>
        <v>378954.6</v>
      </c>
    </row>
    <row r="96" spans="1:5" ht="11.25" hidden="1" customHeight="1" x14ac:dyDescent="0.2">
      <c r="A96" s="8" t="s">
        <v>25</v>
      </c>
      <c r="B96" s="9" t="s">
        <v>26</v>
      </c>
      <c r="C96" s="16">
        <v>1.45</v>
      </c>
      <c r="D96" s="16">
        <v>14500</v>
      </c>
      <c r="E96" s="16">
        <f>ROUND(C96*D96,2)*12</f>
        <v>252300</v>
      </c>
    </row>
    <row r="97" spans="1:5" ht="11.25" hidden="1" customHeight="1" x14ac:dyDescent="0.2">
      <c r="A97" s="8" t="s">
        <v>27</v>
      </c>
      <c r="B97" s="9" t="s">
        <v>28</v>
      </c>
      <c r="C97" s="16">
        <v>30.2</v>
      </c>
      <c r="D97" s="16">
        <f>E96</f>
        <v>252300</v>
      </c>
      <c r="E97" s="16">
        <f>ROUND(C97*D97/100,2)</f>
        <v>76194.600000000006</v>
      </c>
    </row>
    <row r="98" spans="1:5" ht="11.25" hidden="1" customHeight="1" x14ac:dyDescent="0.2">
      <c r="A98" s="8" t="s">
        <v>29</v>
      </c>
      <c r="B98" s="9" t="s">
        <v>30</v>
      </c>
      <c r="C98" s="16"/>
      <c r="D98" s="16"/>
      <c r="E98" s="16">
        <v>50460</v>
      </c>
    </row>
    <row r="99" spans="1:5" ht="11.25" hidden="1" customHeight="1" x14ac:dyDescent="0.2">
      <c r="A99" s="7" t="s">
        <v>31</v>
      </c>
      <c r="B99" s="6" t="s">
        <v>32</v>
      </c>
      <c r="C99" s="16"/>
      <c r="D99" s="16"/>
      <c r="E99" s="17">
        <f>E100+E101+E102+E103+E104+E105</f>
        <v>2929815.48</v>
      </c>
    </row>
    <row r="100" spans="1:5" ht="11.25" hidden="1" customHeight="1" x14ac:dyDescent="0.2">
      <c r="A100" s="8" t="s">
        <v>33</v>
      </c>
      <c r="B100" s="9" t="s">
        <v>34</v>
      </c>
      <c r="C100" s="16">
        <v>9.06</v>
      </c>
      <c r="D100" s="16">
        <v>14500</v>
      </c>
      <c r="E100" s="16">
        <f>ROUND(C100*D100,2)*12</f>
        <v>1576440</v>
      </c>
    </row>
    <row r="101" spans="1:5" ht="11.25" hidden="1" customHeight="1" x14ac:dyDescent="0.2">
      <c r="A101" s="8" t="s">
        <v>35</v>
      </c>
      <c r="B101" s="9" t="s">
        <v>36</v>
      </c>
      <c r="C101" s="16">
        <v>2.95</v>
      </c>
      <c r="D101" s="16">
        <v>14500</v>
      </c>
      <c r="E101" s="16">
        <f>ROUND(C101*D101,2)*12</f>
        <v>513300</v>
      </c>
    </row>
    <row r="102" spans="1:5" ht="11.25" hidden="1" customHeight="1" x14ac:dyDescent="0.2">
      <c r="A102" s="8" t="s">
        <v>37</v>
      </c>
      <c r="B102" s="9" t="s">
        <v>38</v>
      </c>
      <c r="C102" s="16">
        <v>30.2</v>
      </c>
      <c r="D102" s="16">
        <f>E100</f>
        <v>1576440</v>
      </c>
      <c r="E102" s="16">
        <f>ROUND(C102*D102/100,2)</f>
        <v>476084.88</v>
      </c>
    </row>
    <row r="103" spans="1:5" ht="11.25" hidden="1" customHeight="1" x14ac:dyDescent="0.2">
      <c r="A103" s="8" t="s">
        <v>39</v>
      </c>
      <c r="B103" s="9" t="s">
        <v>40</v>
      </c>
      <c r="C103" s="16">
        <v>30.2</v>
      </c>
      <c r="D103" s="16">
        <f>E101</f>
        <v>513300</v>
      </c>
      <c r="E103" s="16">
        <f>ROUND(C103*D103/100,2)</f>
        <v>155016.6</v>
      </c>
    </row>
    <row r="104" spans="1:5" ht="11.25" hidden="1" customHeight="1" x14ac:dyDescent="0.2">
      <c r="A104" s="8" t="s">
        <v>41</v>
      </c>
      <c r="B104" s="9" t="s">
        <v>42</v>
      </c>
      <c r="C104" s="16"/>
      <c r="D104" s="16"/>
      <c r="E104" s="16">
        <v>157644</v>
      </c>
    </row>
    <row r="105" spans="1:5" ht="11.25" hidden="1" customHeight="1" x14ac:dyDescent="0.2">
      <c r="A105" s="8" t="s">
        <v>43</v>
      </c>
      <c r="B105" s="9" t="s">
        <v>44</v>
      </c>
      <c r="C105" s="16"/>
      <c r="D105" s="16"/>
      <c r="E105" s="16">
        <v>51330</v>
      </c>
    </row>
    <row r="106" spans="1:5" ht="11.25" hidden="1" customHeight="1" x14ac:dyDescent="0.2">
      <c r="A106" s="7" t="s">
        <v>45</v>
      </c>
      <c r="B106" s="6" t="s">
        <v>46</v>
      </c>
      <c r="C106" s="16"/>
      <c r="D106" s="16"/>
      <c r="E106" s="17">
        <f>E107+E108+E109+E110</f>
        <v>1948653.84</v>
      </c>
    </row>
    <row r="107" spans="1:5" ht="11.25" hidden="1" customHeight="1" x14ac:dyDescent="0.2">
      <c r="A107" s="8" t="s">
        <v>47</v>
      </c>
      <c r="B107" s="9" t="s">
        <v>48</v>
      </c>
      <c r="C107" s="16">
        <f>E107/12/D107</f>
        <v>6.58</v>
      </c>
      <c r="D107" s="16">
        <v>14500</v>
      </c>
      <c r="E107" s="16">
        <v>1144920</v>
      </c>
    </row>
    <row r="108" spans="1:5" ht="11.25" hidden="1" customHeight="1" x14ac:dyDescent="0.2">
      <c r="A108" s="8" t="s">
        <v>49</v>
      </c>
      <c r="B108" s="9" t="s">
        <v>50</v>
      </c>
      <c r="C108" s="16">
        <v>30.2</v>
      </c>
      <c r="D108" s="16">
        <f>E107</f>
        <v>1144920</v>
      </c>
      <c r="E108" s="16">
        <f>ROUND(C108*D108/100,2)</f>
        <v>345765.84</v>
      </c>
    </row>
    <row r="109" spans="1:5" ht="11.25" hidden="1" customHeight="1" x14ac:dyDescent="0.2">
      <c r="A109" s="8" t="s">
        <v>51</v>
      </c>
      <c r="B109" s="9" t="s">
        <v>52</v>
      </c>
      <c r="C109" s="16"/>
      <c r="D109" s="16"/>
      <c r="E109" s="16">
        <v>343476</v>
      </c>
    </row>
    <row r="110" spans="1:5" ht="11.25" hidden="1" customHeight="1" x14ac:dyDescent="0.2">
      <c r="A110" s="8" t="s">
        <v>53</v>
      </c>
      <c r="B110" s="9" t="s">
        <v>54</v>
      </c>
      <c r="C110" s="16"/>
      <c r="D110" s="16"/>
      <c r="E110" s="16">
        <v>114492</v>
      </c>
    </row>
    <row r="111" spans="1:5" ht="11.25" hidden="1" customHeight="1" x14ac:dyDescent="0.2">
      <c r="A111" s="7" t="s">
        <v>55</v>
      </c>
      <c r="B111" s="6" t="s">
        <v>56</v>
      </c>
      <c r="C111" s="16"/>
      <c r="D111" s="16"/>
      <c r="E111" s="17">
        <v>262871.28000000003</v>
      </c>
    </row>
    <row r="112" spans="1:5" ht="11.25" hidden="1" customHeight="1" x14ac:dyDescent="0.2">
      <c r="A112" s="5">
        <v>2</v>
      </c>
      <c r="B112" s="6" t="s">
        <v>57</v>
      </c>
      <c r="C112" s="16"/>
      <c r="D112" s="16"/>
      <c r="E112" s="17">
        <f>E113+E114+E115+E116+E117+E118+E119</f>
        <v>1916877.59</v>
      </c>
    </row>
    <row r="113" spans="1:5" ht="11.25" hidden="1" customHeight="1" x14ac:dyDescent="0.2">
      <c r="A113" s="8" t="s">
        <v>58</v>
      </c>
      <c r="B113" s="9" t="s">
        <v>59</v>
      </c>
      <c r="C113" s="16">
        <v>1864.7</v>
      </c>
      <c r="D113" s="16">
        <v>230.13</v>
      </c>
      <c r="E113" s="16">
        <v>429131.42</v>
      </c>
    </row>
    <row r="114" spans="1:5" ht="11.25" hidden="1" customHeight="1" x14ac:dyDescent="0.2">
      <c r="A114" s="8" t="s">
        <v>60</v>
      </c>
      <c r="B114" s="9" t="s">
        <v>61</v>
      </c>
      <c r="C114" s="16">
        <v>591.55999999999995</v>
      </c>
      <c r="D114" s="16">
        <v>499.7</v>
      </c>
      <c r="E114" s="16">
        <v>295600</v>
      </c>
    </row>
    <row r="115" spans="1:5" ht="11.25" hidden="1" customHeight="1" x14ac:dyDescent="0.2">
      <c r="A115" s="8" t="s">
        <v>62</v>
      </c>
      <c r="B115" s="9" t="s">
        <v>63</v>
      </c>
      <c r="C115" s="16">
        <v>254154</v>
      </c>
      <c r="D115" s="16">
        <v>3.49</v>
      </c>
      <c r="E115" s="16">
        <v>886997.46</v>
      </c>
    </row>
    <row r="116" spans="1:5" ht="11.25" hidden="1" customHeight="1" x14ac:dyDescent="0.2">
      <c r="A116" s="8" t="s">
        <v>64</v>
      </c>
      <c r="B116" s="9" t="s">
        <v>65</v>
      </c>
      <c r="C116" s="16">
        <v>2789.54</v>
      </c>
      <c r="D116" s="16">
        <v>61.48</v>
      </c>
      <c r="E116" s="16">
        <v>171499.33</v>
      </c>
    </row>
    <row r="117" spans="1:5" ht="11.25" hidden="1" customHeight="1" x14ac:dyDescent="0.2">
      <c r="A117" s="8" t="s">
        <v>66</v>
      </c>
      <c r="B117" s="9" t="s">
        <v>67</v>
      </c>
      <c r="C117" s="16">
        <v>2973.5</v>
      </c>
      <c r="D117" s="16">
        <v>12.89</v>
      </c>
      <c r="E117" s="16">
        <v>38315.33</v>
      </c>
    </row>
    <row r="118" spans="1:5" ht="11.25" hidden="1" customHeight="1" x14ac:dyDescent="0.2">
      <c r="A118" s="8" t="s">
        <v>68</v>
      </c>
      <c r="B118" s="9" t="s">
        <v>69</v>
      </c>
      <c r="C118" s="16">
        <v>2973.5</v>
      </c>
      <c r="D118" s="16">
        <v>6.93</v>
      </c>
      <c r="E118" s="16">
        <v>20596.25</v>
      </c>
    </row>
    <row r="119" spans="1:5" ht="11.25" hidden="1" customHeight="1" x14ac:dyDescent="0.2">
      <c r="A119" s="8" t="s">
        <v>70</v>
      </c>
      <c r="B119" s="9" t="s">
        <v>71</v>
      </c>
      <c r="C119" s="16">
        <v>402.39</v>
      </c>
      <c r="D119" s="16">
        <v>185.73</v>
      </c>
      <c r="E119" s="16">
        <v>74737.8</v>
      </c>
    </row>
    <row r="120" spans="1:5" ht="11.25" hidden="1" customHeight="1" x14ac:dyDescent="0.2">
      <c r="A120" s="5">
        <v>3</v>
      </c>
      <c r="B120" s="6" t="s">
        <v>72</v>
      </c>
      <c r="C120" s="16"/>
      <c r="D120" s="16"/>
      <c r="E120" s="17">
        <f>E121+E122+E123+E124+E125+E126+E127+E128+E129+E130</f>
        <v>3201608.5199999991</v>
      </c>
    </row>
    <row r="121" spans="1:5" ht="11.25" hidden="1" customHeight="1" x14ac:dyDescent="0.2">
      <c r="A121" s="8" t="s">
        <v>73</v>
      </c>
      <c r="B121" s="9" t="s">
        <v>74</v>
      </c>
      <c r="C121" s="16">
        <v>18</v>
      </c>
      <c r="D121" s="16">
        <v>77937.77</v>
      </c>
      <c r="E121" s="16">
        <v>1402879.91</v>
      </c>
    </row>
    <row r="122" spans="1:5" ht="11.25" hidden="1" customHeight="1" x14ac:dyDescent="0.2">
      <c r="A122" s="8" t="s">
        <v>75</v>
      </c>
      <c r="B122" s="9" t="s">
        <v>76</v>
      </c>
      <c r="C122" s="16">
        <v>598</v>
      </c>
      <c r="D122" s="16">
        <v>208.96</v>
      </c>
      <c r="E122" s="16">
        <v>124958.97</v>
      </c>
    </row>
    <row r="123" spans="1:5" ht="11.25" hidden="1" customHeight="1" x14ac:dyDescent="0.2">
      <c r="A123" s="8" t="s">
        <v>77</v>
      </c>
      <c r="B123" s="9" t="s">
        <v>78</v>
      </c>
      <c r="C123" s="16">
        <v>9</v>
      </c>
      <c r="D123" s="16">
        <v>117901.4</v>
      </c>
      <c r="E123" s="16">
        <v>1061112.6000000001</v>
      </c>
    </row>
    <row r="124" spans="1:5" ht="11.25" hidden="1" customHeight="1" x14ac:dyDescent="0.2">
      <c r="A124" s="8" t="s">
        <v>79</v>
      </c>
      <c r="B124" s="9" t="s">
        <v>80</v>
      </c>
      <c r="C124" s="16">
        <v>32843.699999999997</v>
      </c>
      <c r="D124" s="16">
        <v>6.07</v>
      </c>
      <c r="E124" s="16">
        <v>199242.36</v>
      </c>
    </row>
    <row r="125" spans="1:5" ht="11.25" hidden="1" customHeight="1" x14ac:dyDescent="0.2">
      <c r="A125" s="8" t="s">
        <v>81</v>
      </c>
      <c r="B125" s="9" t="s">
        <v>82</v>
      </c>
      <c r="C125" s="16">
        <v>1215</v>
      </c>
      <c r="D125" s="16">
        <v>86.77</v>
      </c>
      <c r="E125" s="16">
        <v>105420.78</v>
      </c>
    </row>
    <row r="126" spans="1:5" ht="11.25" hidden="1" customHeight="1" x14ac:dyDescent="0.2">
      <c r="A126" s="8" t="s">
        <v>83</v>
      </c>
      <c r="B126" s="9" t="s">
        <v>84</v>
      </c>
      <c r="C126" s="16">
        <v>205</v>
      </c>
      <c r="D126" s="16">
        <v>269.19</v>
      </c>
      <c r="E126" s="16">
        <v>55183.76</v>
      </c>
    </row>
    <row r="127" spans="1:5" ht="11.25" hidden="1" customHeight="1" x14ac:dyDescent="0.2">
      <c r="A127" s="8" t="s">
        <v>85</v>
      </c>
      <c r="B127" s="9" t="s">
        <v>86</v>
      </c>
      <c r="C127" s="16">
        <v>0.5</v>
      </c>
      <c r="D127" s="16">
        <v>25357.599999999999</v>
      </c>
      <c r="E127" s="16">
        <v>12678.8</v>
      </c>
    </row>
    <row r="128" spans="1:5" ht="11.25" hidden="1" customHeight="1" x14ac:dyDescent="0.2">
      <c r="A128" s="8" t="s">
        <v>87</v>
      </c>
      <c r="B128" s="9" t="s">
        <v>88</v>
      </c>
      <c r="C128" s="16"/>
      <c r="D128" s="16"/>
      <c r="E128" s="16"/>
    </row>
    <row r="129" spans="1:5" ht="11.25" hidden="1" customHeight="1" x14ac:dyDescent="0.2">
      <c r="A129" s="8" t="s">
        <v>89</v>
      </c>
      <c r="B129" s="9" t="s">
        <v>90</v>
      </c>
      <c r="C129" s="16"/>
      <c r="D129" s="16"/>
      <c r="E129" s="16"/>
    </row>
    <row r="130" spans="1:5" ht="11.25" hidden="1" customHeight="1" x14ac:dyDescent="0.2">
      <c r="A130" s="8" t="s">
        <v>91</v>
      </c>
      <c r="B130" s="9" t="s">
        <v>92</v>
      </c>
      <c r="C130" s="16"/>
      <c r="D130" s="16"/>
      <c r="E130" s="16">
        <v>240131.34</v>
      </c>
    </row>
    <row r="131" spans="1:5" ht="11.25" hidden="1" customHeight="1" x14ac:dyDescent="0.2">
      <c r="A131" s="5">
        <v>4</v>
      </c>
      <c r="B131" s="6" t="s">
        <v>93</v>
      </c>
      <c r="C131" s="16"/>
      <c r="D131" s="16"/>
      <c r="E131" s="17">
        <v>878897.41</v>
      </c>
    </row>
    <row r="132" spans="1:5" ht="11.25" hidden="1" customHeight="1" x14ac:dyDescent="0.2">
      <c r="A132" s="10"/>
      <c r="B132" s="11" t="s">
        <v>94</v>
      </c>
      <c r="C132" s="21"/>
      <c r="D132" s="21"/>
      <c r="E132" s="28">
        <f>E93+E112+E120+E131</f>
        <v>11517678.719999999</v>
      </c>
    </row>
    <row r="133" spans="1:5" ht="11.25" hidden="1" customHeight="1" x14ac:dyDescent="0.25">
      <c r="A133" s="10"/>
      <c r="B133" s="11" t="s">
        <v>95</v>
      </c>
      <c r="C133" s="21"/>
      <c r="D133" s="21"/>
      <c r="E133" s="22">
        <f>ROUND(ROUND(E132/12,2)/E80,2)</f>
        <v>29.22</v>
      </c>
    </row>
    <row r="134" spans="1:5" ht="10.95" hidden="1" customHeight="1" x14ac:dyDescent="0.2"/>
    <row r="135" spans="1:5" ht="10.95" hidden="1" customHeight="1" x14ac:dyDescent="0.2"/>
    <row r="136" spans="1:5" ht="10.95" hidden="1" customHeight="1" x14ac:dyDescent="0.2"/>
    <row r="137" spans="1:5" ht="10.95" hidden="1" customHeight="1" x14ac:dyDescent="0.2"/>
    <row r="138" spans="1:5" ht="15" hidden="1" customHeight="1" x14ac:dyDescent="0.25">
      <c r="B138" s="12" t="s">
        <v>96</v>
      </c>
    </row>
    <row r="139" spans="1:5" ht="12" hidden="1" customHeight="1" x14ac:dyDescent="0.2"/>
    <row r="140" spans="1:5" ht="13.2" hidden="1" customHeight="1" x14ac:dyDescent="0.25">
      <c r="B140" s="3" t="s">
        <v>97</v>
      </c>
    </row>
    <row r="141" spans="1:5" ht="7.95" hidden="1" customHeight="1" x14ac:dyDescent="0.2"/>
    <row r="142" spans="1:5" ht="12" hidden="1" customHeight="1" x14ac:dyDescent="0.25">
      <c r="B142" s="41" t="s">
        <v>100</v>
      </c>
      <c r="C142" s="41"/>
      <c r="D142" s="41"/>
      <c r="E142" s="41"/>
    </row>
    <row r="143" spans="1:5" ht="10.95" hidden="1" customHeight="1" x14ac:dyDescent="0.2"/>
    <row r="144" spans="1:5" ht="10.95" hidden="1" customHeight="1" x14ac:dyDescent="0.2"/>
    <row r="145" spans="1:5" ht="16.2" hidden="1" customHeight="1" x14ac:dyDescent="0.2">
      <c r="A145" s="39" t="s">
        <v>0</v>
      </c>
      <c r="B145" s="39"/>
      <c r="C145" s="39"/>
      <c r="D145" s="39"/>
      <c r="E145" s="39"/>
    </row>
    <row r="146" spans="1:5" ht="10.95" hidden="1" customHeight="1" x14ac:dyDescent="0.2">
      <c r="A146" s="40" t="s">
        <v>1</v>
      </c>
      <c r="B146" s="40"/>
      <c r="C146" s="40"/>
      <c r="D146" s="40"/>
      <c r="E146" s="40"/>
    </row>
    <row r="147" spans="1:5" ht="13.2" hidden="1" customHeight="1" x14ac:dyDescent="0.2">
      <c r="A147" s="40" t="s">
        <v>2</v>
      </c>
      <c r="B147" s="40"/>
      <c r="C147" s="40"/>
      <c r="D147" s="40"/>
      <c r="E147" s="40"/>
    </row>
    <row r="148" spans="1:5" ht="10.95" hidden="1" customHeight="1" x14ac:dyDescent="0.2"/>
    <row r="149" spans="1:5" ht="10.95" hidden="1" customHeight="1" x14ac:dyDescent="0.2">
      <c r="C149" s="42" t="s">
        <v>3</v>
      </c>
      <c r="D149" s="42"/>
      <c r="E149" s="42"/>
    </row>
    <row r="150" spans="1:5" ht="12" hidden="1" customHeight="1" x14ac:dyDescent="0.2">
      <c r="D150" s="26" t="s">
        <v>4</v>
      </c>
      <c r="E150" s="23">
        <v>29173.9</v>
      </c>
    </row>
    <row r="151" spans="1:5" ht="12" hidden="1" customHeight="1" x14ac:dyDescent="0.2">
      <c r="D151" s="26" t="s">
        <v>5</v>
      </c>
      <c r="E151" s="23">
        <v>964.6</v>
      </c>
    </row>
    <row r="152" spans="1:5" ht="12" hidden="1" customHeight="1" x14ac:dyDescent="0.2">
      <c r="D152" s="26" t="s">
        <v>6</v>
      </c>
      <c r="E152" s="23">
        <v>8</v>
      </c>
    </row>
    <row r="153" spans="1:5" ht="12" hidden="1" customHeight="1" x14ac:dyDescent="0.2">
      <c r="D153" s="26" t="s">
        <v>7</v>
      </c>
      <c r="E153" s="23">
        <v>17</v>
      </c>
    </row>
    <row r="154" spans="1:5" ht="12" hidden="1" customHeight="1" x14ac:dyDescent="0.2">
      <c r="D154" s="26" t="s">
        <v>8</v>
      </c>
      <c r="E154" s="23">
        <v>527</v>
      </c>
    </row>
    <row r="155" spans="1:5" ht="12" hidden="1" customHeight="1" x14ac:dyDescent="0.2">
      <c r="D155" s="26" t="s">
        <v>9</v>
      </c>
      <c r="E155" s="23">
        <v>1179</v>
      </c>
    </row>
    <row r="156" spans="1:5" ht="12" hidden="1" customHeight="1" x14ac:dyDescent="0.2">
      <c r="D156" s="26" t="s">
        <v>10</v>
      </c>
      <c r="E156" s="23">
        <v>16</v>
      </c>
    </row>
    <row r="157" spans="1:5" ht="12" hidden="1" customHeight="1" x14ac:dyDescent="0.2">
      <c r="D157" s="26" t="s">
        <v>11</v>
      </c>
      <c r="E157" s="23">
        <v>8</v>
      </c>
    </row>
    <row r="158" spans="1:5" ht="12" hidden="1" customHeight="1" x14ac:dyDescent="0.2">
      <c r="D158" s="26" t="s">
        <v>12</v>
      </c>
      <c r="E158" s="23">
        <v>0</v>
      </c>
    </row>
    <row r="159" spans="1:5" ht="12" hidden="1" customHeight="1" x14ac:dyDescent="0.2">
      <c r="D159" s="26" t="s">
        <v>13</v>
      </c>
      <c r="E159" s="23">
        <v>5694</v>
      </c>
    </row>
    <row r="160" spans="1:5" ht="12" hidden="1" customHeight="1" x14ac:dyDescent="0.25">
      <c r="A160" s="2" t="s">
        <v>14</v>
      </c>
      <c r="B160" s="3" t="s">
        <v>98</v>
      </c>
    </row>
    <row r="161" spans="1:5" ht="10.95" hidden="1" customHeight="1" x14ac:dyDescent="0.2"/>
    <row r="162" spans="1:5" ht="45" hidden="1" customHeight="1" x14ac:dyDescent="0.2">
      <c r="A162" s="4" t="s">
        <v>15</v>
      </c>
      <c r="B162" s="4" t="s">
        <v>16</v>
      </c>
      <c r="C162" s="27" t="s">
        <v>17</v>
      </c>
      <c r="D162" s="27" t="s">
        <v>18</v>
      </c>
      <c r="E162" s="27" t="s">
        <v>19</v>
      </c>
    </row>
    <row r="163" spans="1:5" ht="11.25" hidden="1" customHeight="1" x14ac:dyDescent="0.2">
      <c r="A163" s="5">
        <v>1</v>
      </c>
      <c r="B163" s="6" t="s">
        <v>20</v>
      </c>
      <c r="C163" s="16"/>
      <c r="D163" s="16"/>
      <c r="E163" s="17">
        <f>E164+E176+E181</f>
        <v>4901201.6399999997</v>
      </c>
    </row>
    <row r="164" spans="1:5" ht="11.25" hidden="1" customHeight="1" x14ac:dyDescent="0.2">
      <c r="A164" s="7" t="s">
        <v>21</v>
      </c>
      <c r="B164" s="6" t="s">
        <v>22</v>
      </c>
      <c r="C164" s="16"/>
      <c r="D164" s="16"/>
      <c r="E164" s="17">
        <f>E165+E169</f>
        <v>2879077.08</v>
      </c>
    </row>
    <row r="165" spans="1:5" ht="11.25" hidden="1" customHeight="1" x14ac:dyDescent="0.2">
      <c r="A165" s="7" t="s">
        <v>23</v>
      </c>
      <c r="B165" s="6" t="s">
        <v>24</v>
      </c>
      <c r="C165" s="16"/>
      <c r="D165" s="16"/>
      <c r="E165" s="17">
        <f>E166+E167+E168</f>
        <v>337138.92</v>
      </c>
    </row>
    <row r="166" spans="1:5" ht="11.25" hidden="1" customHeight="1" x14ac:dyDescent="0.2">
      <c r="A166" s="8" t="s">
        <v>25</v>
      </c>
      <c r="B166" s="9" t="s">
        <v>26</v>
      </c>
      <c r="C166" s="16">
        <v>1.29</v>
      </c>
      <c r="D166" s="16">
        <v>14500</v>
      </c>
      <c r="E166" s="16">
        <f>ROUND(C166*D166,2)*12</f>
        <v>224460</v>
      </c>
    </row>
    <row r="167" spans="1:5" ht="11.25" hidden="1" customHeight="1" x14ac:dyDescent="0.2">
      <c r="A167" s="8" t="s">
        <v>27</v>
      </c>
      <c r="B167" s="9" t="s">
        <v>28</v>
      </c>
      <c r="C167" s="16">
        <v>30.2</v>
      </c>
      <c r="D167" s="16">
        <f>E166</f>
        <v>224460</v>
      </c>
      <c r="E167" s="16">
        <f>ROUND(C167*D167/100,2)</f>
        <v>67786.92</v>
      </c>
    </row>
    <row r="168" spans="1:5" ht="11.25" hidden="1" customHeight="1" x14ac:dyDescent="0.2">
      <c r="A168" s="8" t="s">
        <v>29</v>
      </c>
      <c r="B168" s="9" t="s">
        <v>30</v>
      </c>
      <c r="C168" s="16"/>
      <c r="D168" s="16"/>
      <c r="E168" s="16">
        <v>44892</v>
      </c>
    </row>
    <row r="169" spans="1:5" ht="11.25" hidden="1" customHeight="1" x14ac:dyDescent="0.2">
      <c r="A169" s="7" t="s">
        <v>31</v>
      </c>
      <c r="B169" s="6" t="s">
        <v>32</v>
      </c>
      <c r="C169" s="16"/>
      <c r="D169" s="16"/>
      <c r="E169" s="17">
        <f>E170+E171+E172+E173+E174+E175</f>
        <v>2541938.16</v>
      </c>
    </row>
    <row r="170" spans="1:5" ht="11.25" hidden="1" customHeight="1" x14ac:dyDescent="0.2">
      <c r="A170" s="8" t="s">
        <v>33</v>
      </c>
      <c r="B170" s="9" t="s">
        <v>34</v>
      </c>
      <c r="C170" s="16">
        <v>7.72</v>
      </c>
      <c r="D170" s="16">
        <v>14500</v>
      </c>
      <c r="E170" s="16">
        <f>ROUND(C170*D170,2)*12</f>
        <v>1343280</v>
      </c>
    </row>
    <row r="171" spans="1:5" ht="11.25" hidden="1" customHeight="1" x14ac:dyDescent="0.2">
      <c r="A171" s="8" t="s">
        <v>35</v>
      </c>
      <c r="B171" s="9" t="s">
        <v>36</v>
      </c>
      <c r="C171" s="16">
        <v>2.7</v>
      </c>
      <c r="D171" s="16">
        <v>14500</v>
      </c>
      <c r="E171" s="16">
        <f>ROUND(C171*D171,2)*12</f>
        <v>469800</v>
      </c>
    </row>
    <row r="172" spans="1:5" ht="11.25" hidden="1" customHeight="1" x14ac:dyDescent="0.2">
      <c r="A172" s="8" t="s">
        <v>37</v>
      </c>
      <c r="B172" s="9" t="s">
        <v>38</v>
      </c>
      <c r="C172" s="16">
        <v>30.2</v>
      </c>
      <c r="D172" s="16">
        <f>E170</f>
        <v>1343280</v>
      </c>
      <c r="E172" s="16">
        <f>ROUND(C172*D172/100,2)</f>
        <v>405670.56</v>
      </c>
    </row>
    <row r="173" spans="1:5" ht="11.25" hidden="1" customHeight="1" x14ac:dyDescent="0.2">
      <c r="A173" s="8" t="s">
        <v>39</v>
      </c>
      <c r="B173" s="9" t="s">
        <v>40</v>
      </c>
      <c r="C173" s="16">
        <v>30.2</v>
      </c>
      <c r="D173" s="16">
        <f>E171</f>
        <v>469800</v>
      </c>
      <c r="E173" s="16">
        <f>ROUND(C173*D173/100,2)</f>
        <v>141879.6</v>
      </c>
    </row>
    <row r="174" spans="1:5" ht="11.25" hidden="1" customHeight="1" x14ac:dyDescent="0.2">
      <c r="A174" s="8" t="s">
        <v>41</v>
      </c>
      <c r="B174" s="9" t="s">
        <v>42</v>
      </c>
      <c r="C174" s="16"/>
      <c r="D174" s="16"/>
      <c r="E174" s="16">
        <v>134328</v>
      </c>
    </row>
    <row r="175" spans="1:5" ht="11.25" hidden="1" customHeight="1" x14ac:dyDescent="0.2">
      <c r="A175" s="8" t="s">
        <v>43</v>
      </c>
      <c r="B175" s="9" t="s">
        <v>44</v>
      </c>
      <c r="C175" s="16"/>
      <c r="D175" s="16"/>
      <c r="E175" s="16">
        <v>46980</v>
      </c>
    </row>
    <row r="176" spans="1:5" ht="11.25" hidden="1" customHeight="1" x14ac:dyDescent="0.2">
      <c r="A176" s="7" t="s">
        <v>45</v>
      </c>
      <c r="B176" s="6" t="s">
        <v>46</v>
      </c>
      <c r="C176" s="16"/>
      <c r="D176" s="16"/>
      <c r="E176" s="17">
        <f>E177+E178+E179+E180</f>
        <v>1788733.92</v>
      </c>
    </row>
    <row r="177" spans="1:5" ht="11.25" hidden="1" customHeight="1" x14ac:dyDescent="0.2">
      <c r="A177" s="8" t="s">
        <v>47</v>
      </c>
      <c r="B177" s="9" t="s">
        <v>48</v>
      </c>
      <c r="C177" s="16">
        <v>6.04</v>
      </c>
      <c r="D177" s="16">
        <v>14500</v>
      </c>
      <c r="E177" s="16">
        <f>C177*D177*12</f>
        <v>1050960</v>
      </c>
    </row>
    <row r="178" spans="1:5" ht="11.25" hidden="1" customHeight="1" x14ac:dyDescent="0.2">
      <c r="A178" s="8" t="s">
        <v>49</v>
      </c>
      <c r="B178" s="9" t="s">
        <v>50</v>
      </c>
      <c r="C178" s="16">
        <v>30.2</v>
      </c>
      <c r="D178" s="16">
        <f>E177</f>
        <v>1050960</v>
      </c>
      <c r="E178" s="16">
        <f>ROUND(C178*D178/100,2)</f>
        <v>317389.92</v>
      </c>
    </row>
    <row r="179" spans="1:5" ht="11.25" hidden="1" customHeight="1" x14ac:dyDescent="0.2">
      <c r="A179" s="8" t="s">
        <v>51</v>
      </c>
      <c r="B179" s="9" t="s">
        <v>52</v>
      </c>
      <c r="C179" s="16"/>
      <c r="D179" s="16"/>
      <c r="E179" s="16">
        <f>E177*0.3</f>
        <v>315288</v>
      </c>
    </row>
    <row r="180" spans="1:5" ht="11.25" hidden="1" customHeight="1" x14ac:dyDescent="0.2">
      <c r="A180" s="8" t="s">
        <v>53</v>
      </c>
      <c r="B180" s="9" t="s">
        <v>54</v>
      </c>
      <c r="C180" s="16"/>
      <c r="D180" s="16"/>
      <c r="E180" s="16">
        <f>E177*0.1</f>
        <v>105096</v>
      </c>
    </row>
    <row r="181" spans="1:5" ht="11.25" hidden="1" customHeight="1" x14ac:dyDescent="0.2">
      <c r="A181" s="7" t="s">
        <v>55</v>
      </c>
      <c r="B181" s="6" t="s">
        <v>56</v>
      </c>
      <c r="C181" s="16"/>
      <c r="D181" s="16"/>
      <c r="E181" s="17">
        <v>233390.64</v>
      </c>
    </row>
    <row r="182" spans="1:5" ht="11.25" hidden="1" customHeight="1" x14ac:dyDescent="0.2">
      <c r="A182" s="5">
        <v>2</v>
      </c>
      <c r="B182" s="6" t="s">
        <v>57</v>
      </c>
      <c r="C182" s="16"/>
      <c r="D182" s="16"/>
      <c r="E182" s="17">
        <f>E183+E184+E185+E186+E187+E188+E189</f>
        <v>1679665.9300000002</v>
      </c>
    </row>
    <row r="183" spans="1:5" ht="11.25" hidden="1" customHeight="1" x14ac:dyDescent="0.2">
      <c r="A183" s="8" t="s">
        <v>58</v>
      </c>
      <c r="B183" s="9" t="s">
        <v>59</v>
      </c>
      <c r="C183" s="16">
        <v>1709.55</v>
      </c>
      <c r="D183" s="16">
        <v>230.13</v>
      </c>
      <c r="E183" s="16">
        <v>393426.55</v>
      </c>
    </row>
    <row r="184" spans="1:5" ht="11.25" hidden="1" customHeight="1" x14ac:dyDescent="0.2">
      <c r="A184" s="8" t="s">
        <v>60</v>
      </c>
      <c r="B184" s="9" t="s">
        <v>61</v>
      </c>
      <c r="C184" s="16">
        <v>542.34</v>
      </c>
      <c r="D184" s="16">
        <v>500.06</v>
      </c>
      <c r="E184" s="16">
        <v>271200</v>
      </c>
    </row>
    <row r="185" spans="1:5" ht="11.25" hidden="1" customHeight="1" x14ac:dyDescent="0.2">
      <c r="A185" s="8" t="s">
        <v>62</v>
      </c>
      <c r="B185" s="9" t="s">
        <v>63</v>
      </c>
      <c r="C185" s="16">
        <v>310480</v>
      </c>
      <c r="D185" s="16">
        <v>2.44</v>
      </c>
      <c r="E185" s="16">
        <v>757571.2</v>
      </c>
    </row>
    <row r="186" spans="1:5" ht="11.25" hidden="1" customHeight="1" x14ac:dyDescent="0.2">
      <c r="A186" s="8" t="s">
        <v>64</v>
      </c>
      <c r="B186" s="9" t="s">
        <v>65</v>
      </c>
      <c r="C186" s="16">
        <v>2019.7</v>
      </c>
      <c r="D186" s="16">
        <v>69.099999999999994</v>
      </c>
      <c r="E186" s="16">
        <v>139558.6</v>
      </c>
    </row>
    <row r="187" spans="1:5" ht="11.25" hidden="1" customHeight="1" x14ac:dyDescent="0.2">
      <c r="A187" s="8" t="s">
        <v>66</v>
      </c>
      <c r="B187" s="9" t="s">
        <v>67</v>
      </c>
      <c r="C187" s="16">
        <v>2598.1999999999998</v>
      </c>
      <c r="D187" s="16">
        <v>12.89</v>
      </c>
      <c r="E187" s="16">
        <v>33479.370000000003</v>
      </c>
    </row>
    <row r="188" spans="1:5" ht="11.25" hidden="1" customHeight="1" x14ac:dyDescent="0.2">
      <c r="A188" s="8" t="s">
        <v>68</v>
      </c>
      <c r="B188" s="9" t="s">
        <v>69</v>
      </c>
      <c r="C188" s="16">
        <v>2598.1999999999998</v>
      </c>
      <c r="D188" s="16">
        <v>6.93</v>
      </c>
      <c r="E188" s="16">
        <v>17996.689999999999</v>
      </c>
    </row>
    <row r="189" spans="1:5" ht="11.25" hidden="1" customHeight="1" x14ac:dyDescent="0.2">
      <c r="A189" s="8" t="s">
        <v>70</v>
      </c>
      <c r="B189" s="9" t="s">
        <v>71</v>
      </c>
      <c r="C189" s="16">
        <v>357.68</v>
      </c>
      <c r="D189" s="16">
        <v>185.73</v>
      </c>
      <c r="E189" s="16">
        <v>66433.52</v>
      </c>
    </row>
    <row r="190" spans="1:5" ht="11.25" hidden="1" customHeight="1" x14ac:dyDescent="0.2">
      <c r="A190" s="5">
        <v>3</v>
      </c>
      <c r="B190" s="6" t="s">
        <v>72</v>
      </c>
      <c r="C190" s="16"/>
      <c r="D190" s="16"/>
      <c r="E190" s="17">
        <f>E191+E192+E193+E194+E195+E196+E197+E198+E199+E200</f>
        <v>3011497.2800000003</v>
      </c>
    </row>
    <row r="191" spans="1:5" ht="11.25" hidden="1" customHeight="1" x14ac:dyDescent="0.2">
      <c r="A191" s="8" t="s">
        <v>73</v>
      </c>
      <c r="B191" s="9" t="s">
        <v>74</v>
      </c>
      <c r="C191" s="16">
        <v>16</v>
      </c>
      <c r="D191" s="16">
        <v>102562.02</v>
      </c>
      <c r="E191" s="16">
        <v>1640992.3</v>
      </c>
    </row>
    <row r="192" spans="1:5" ht="11.25" hidden="1" customHeight="1" x14ac:dyDescent="0.2">
      <c r="A192" s="8" t="s">
        <v>75</v>
      </c>
      <c r="B192" s="9" t="s">
        <v>76</v>
      </c>
      <c r="C192" s="16">
        <v>527</v>
      </c>
      <c r="D192" s="16">
        <v>208.96</v>
      </c>
      <c r="E192" s="16">
        <v>110122.7</v>
      </c>
    </row>
    <row r="193" spans="1:5" ht="11.25" hidden="1" customHeight="1" x14ac:dyDescent="0.2">
      <c r="A193" s="8" t="s">
        <v>77</v>
      </c>
      <c r="B193" s="9" t="s">
        <v>78</v>
      </c>
      <c r="C193" s="16">
        <v>8</v>
      </c>
      <c r="D193" s="16">
        <v>117901.4</v>
      </c>
      <c r="E193" s="16">
        <v>943211.16</v>
      </c>
    </row>
    <row r="194" spans="1:5" ht="11.25" hidden="1" customHeight="1" x14ac:dyDescent="0.2">
      <c r="A194" s="8" t="s">
        <v>79</v>
      </c>
      <c r="B194" s="9" t="s">
        <v>80</v>
      </c>
      <c r="C194" s="16">
        <v>29173.9</v>
      </c>
      <c r="D194" s="16">
        <v>6.07</v>
      </c>
      <c r="E194" s="16">
        <v>176979.96</v>
      </c>
    </row>
    <row r="195" spans="1:5" ht="11.25" hidden="1" customHeight="1" x14ac:dyDescent="0.2">
      <c r="A195" s="8" t="s">
        <v>81</v>
      </c>
      <c r="B195" s="9" t="s">
        <v>82</v>
      </c>
      <c r="C195" s="16">
        <v>1100</v>
      </c>
      <c r="D195" s="16">
        <v>86.77</v>
      </c>
      <c r="E195" s="16">
        <v>95442.68</v>
      </c>
    </row>
    <row r="196" spans="1:5" ht="11.25" hidden="1" customHeight="1" x14ac:dyDescent="0.2">
      <c r="A196" s="8" t="s">
        <v>83</v>
      </c>
      <c r="B196" s="9" t="s">
        <v>84</v>
      </c>
      <c r="C196" s="16">
        <v>166</v>
      </c>
      <c r="D196" s="16">
        <v>269.57</v>
      </c>
      <c r="E196" s="16">
        <v>44748.480000000003</v>
      </c>
    </row>
    <row r="197" spans="1:5" ht="11.25" hidden="1" customHeight="1" x14ac:dyDescent="0.2">
      <c r="A197" s="8" t="s">
        <v>85</v>
      </c>
      <c r="B197" s="9" t="s">
        <v>86</v>
      </c>
      <c r="C197" s="16">
        <v>0.2</v>
      </c>
      <c r="D197" s="16"/>
      <c r="E197" s="16"/>
    </row>
    <row r="198" spans="1:5" ht="11.25" hidden="1" customHeight="1" x14ac:dyDescent="0.2">
      <c r="A198" s="8" t="s">
        <v>87</v>
      </c>
      <c r="B198" s="9" t="s">
        <v>88</v>
      </c>
      <c r="C198" s="16"/>
      <c r="D198" s="16"/>
      <c r="E198" s="16"/>
    </row>
    <row r="199" spans="1:5" ht="11.25" hidden="1" customHeight="1" x14ac:dyDescent="0.2">
      <c r="A199" s="8" t="s">
        <v>89</v>
      </c>
      <c r="B199" s="9" t="s">
        <v>90</v>
      </c>
      <c r="C199" s="16"/>
      <c r="D199" s="16"/>
      <c r="E199" s="16"/>
    </row>
    <row r="200" spans="1:5" ht="11.25" hidden="1" customHeight="1" x14ac:dyDescent="0.2">
      <c r="A200" s="8" t="s">
        <v>91</v>
      </c>
      <c r="B200" s="9" t="s">
        <v>92</v>
      </c>
      <c r="C200" s="16"/>
      <c r="D200" s="16"/>
      <c r="E200" s="16"/>
    </row>
    <row r="201" spans="1:5" ht="11.25" hidden="1" customHeight="1" x14ac:dyDescent="0.2">
      <c r="A201" s="5">
        <v>4</v>
      </c>
      <c r="B201" s="6" t="s">
        <v>93</v>
      </c>
      <c r="C201" s="16"/>
      <c r="D201" s="16"/>
      <c r="E201" s="17">
        <v>780693.56</v>
      </c>
    </row>
    <row r="202" spans="1:5" ht="11.25" hidden="1" customHeight="1" x14ac:dyDescent="0.2">
      <c r="A202" s="10"/>
      <c r="B202" s="11" t="s">
        <v>94</v>
      </c>
      <c r="C202" s="21"/>
      <c r="D202" s="21"/>
      <c r="E202" s="28">
        <f>E163+E182+E190+E201</f>
        <v>10373058.410000002</v>
      </c>
    </row>
    <row r="203" spans="1:5" ht="11.25" hidden="1" customHeight="1" x14ac:dyDescent="0.25">
      <c r="A203" s="10"/>
      <c r="B203" s="11" t="s">
        <v>95</v>
      </c>
      <c r="C203" s="21"/>
      <c r="D203" s="21"/>
      <c r="E203" s="22">
        <f>ROUND(ROUND(E202/12,2)/E150,2)</f>
        <v>29.63</v>
      </c>
    </row>
    <row r="204" spans="1:5" ht="10.95" hidden="1" customHeight="1" x14ac:dyDescent="0.2"/>
    <row r="205" spans="1:5" ht="10.95" hidden="1" customHeight="1" x14ac:dyDescent="0.2"/>
    <row r="206" spans="1:5" ht="10.95" hidden="1" customHeight="1" x14ac:dyDescent="0.2"/>
    <row r="207" spans="1:5" ht="10.95" hidden="1" customHeight="1" x14ac:dyDescent="0.2"/>
    <row r="208" spans="1:5" ht="15" hidden="1" customHeight="1" x14ac:dyDescent="0.25">
      <c r="B208" s="12" t="s">
        <v>96</v>
      </c>
    </row>
    <row r="209" spans="1:5" ht="12" hidden="1" customHeight="1" x14ac:dyDescent="0.2"/>
    <row r="210" spans="1:5" ht="13.2" hidden="1" customHeight="1" x14ac:dyDescent="0.25">
      <c r="B210" s="3" t="s">
        <v>97</v>
      </c>
    </row>
    <row r="211" spans="1:5" ht="13.2" hidden="1" customHeight="1" x14ac:dyDescent="0.25">
      <c r="B211" s="3"/>
    </row>
    <row r="212" spans="1:5" ht="13.2" hidden="1" customHeight="1" x14ac:dyDescent="0.25">
      <c r="B212" s="3"/>
    </row>
    <row r="213" spans="1:5" ht="16.2" hidden="1" customHeight="1" x14ac:dyDescent="0.2">
      <c r="A213" s="39" t="s">
        <v>0</v>
      </c>
      <c r="B213" s="39"/>
      <c r="C213" s="39"/>
      <c r="D213" s="39"/>
      <c r="E213" s="39"/>
    </row>
    <row r="214" spans="1:5" ht="10.95" hidden="1" customHeight="1" x14ac:dyDescent="0.2">
      <c r="A214" s="40" t="s">
        <v>1</v>
      </c>
      <c r="B214" s="40"/>
      <c r="C214" s="40"/>
      <c r="D214" s="40"/>
      <c r="E214" s="40"/>
    </row>
    <row r="215" spans="1:5" ht="13.2" hidden="1" customHeight="1" x14ac:dyDescent="0.2">
      <c r="A215" s="40" t="s">
        <v>2</v>
      </c>
      <c r="B215" s="40"/>
      <c r="C215" s="40"/>
      <c r="D215" s="40"/>
      <c r="E215" s="40"/>
    </row>
    <row r="216" spans="1:5" ht="10.95" hidden="1" customHeight="1" x14ac:dyDescent="0.2"/>
    <row r="217" spans="1:5" ht="10.95" hidden="1" customHeight="1" x14ac:dyDescent="0.2">
      <c r="C217" s="42" t="s">
        <v>3</v>
      </c>
      <c r="D217" s="42"/>
      <c r="E217" s="42"/>
    </row>
    <row r="218" spans="1:5" ht="12" hidden="1" customHeight="1" x14ac:dyDescent="0.2">
      <c r="D218" s="26" t="s">
        <v>4</v>
      </c>
      <c r="E218" s="23">
        <v>14058</v>
      </c>
    </row>
    <row r="219" spans="1:5" ht="12" hidden="1" customHeight="1" x14ac:dyDescent="0.2">
      <c r="D219" s="26" t="s">
        <v>5</v>
      </c>
      <c r="E219" s="23">
        <v>939.7</v>
      </c>
    </row>
    <row r="220" spans="1:5" ht="12" hidden="1" customHeight="1" x14ac:dyDescent="0.2">
      <c r="D220" s="26" t="s">
        <v>6</v>
      </c>
      <c r="E220" s="23">
        <v>4</v>
      </c>
    </row>
    <row r="221" spans="1:5" ht="12" hidden="1" customHeight="1" x14ac:dyDescent="0.2">
      <c r="D221" s="26" t="s">
        <v>7</v>
      </c>
      <c r="E221" s="23">
        <v>17</v>
      </c>
    </row>
    <row r="222" spans="1:5" ht="12" hidden="1" customHeight="1" x14ac:dyDescent="0.2">
      <c r="D222" s="26" t="s">
        <v>8</v>
      </c>
      <c r="E222" s="23">
        <v>255</v>
      </c>
    </row>
    <row r="223" spans="1:5" ht="12" hidden="1" customHeight="1" x14ac:dyDescent="0.2">
      <c r="D223" s="26" t="s">
        <v>9</v>
      </c>
      <c r="E223" s="23">
        <v>562</v>
      </c>
    </row>
    <row r="224" spans="1:5" ht="12" hidden="1" customHeight="1" x14ac:dyDescent="0.2">
      <c r="D224" s="26" t="s">
        <v>10</v>
      </c>
      <c r="E224" s="23">
        <v>8</v>
      </c>
    </row>
    <row r="225" spans="1:5" ht="12" hidden="1" customHeight="1" x14ac:dyDescent="0.2">
      <c r="D225" s="26" t="s">
        <v>11</v>
      </c>
      <c r="E225" s="23">
        <v>4</v>
      </c>
    </row>
    <row r="226" spans="1:5" ht="12" hidden="1" customHeight="1" x14ac:dyDescent="0.2">
      <c r="D226" s="26" t="s">
        <v>12</v>
      </c>
      <c r="E226" s="23">
        <v>0</v>
      </c>
    </row>
    <row r="227" spans="1:5" ht="12" hidden="1" customHeight="1" x14ac:dyDescent="0.2">
      <c r="D227" s="26" t="s">
        <v>13</v>
      </c>
      <c r="E227" s="23">
        <v>2859</v>
      </c>
    </row>
    <row r="228" spans="1:5" ht="12" hidden="1" customHeight="1" x14ac:dyDescent="0.25">
      <c r="A228" s="2" t="s">
        <v>14</v>
      </c>
      <c r="B228" s="3" t="s">
        <v>99</v>
      </c>
    </row>
    <row r="229" spans="1:5" ht="10.95" hidden="1" customHeight="1" x14ac:dyDescent="0.2"/>
    <row r="230" spans="1:5" ht="45" hidden="1" customHeight="1" x14ac:dyDescent="0.2">
      <c r="A230" s="4" t="s">
        <v>15</v>
      </c>
      <c r="B230" s="4" t="s">
        <v>16</v>
      </c>
      <c r="C230" s="27" t="s">
        <v>17</v>
      </c>
      <c r="D230" s="27" t="s">
        <v>18</v>
      </c>
      <c r="E230" s="27" t="s">
        <v>19</v>
      </c>
    </row>
    <row r="231" spans="1:5" ht="11.25" hidden="1" customHeight="1" x14ac:dyDescent="0.2">
      <c r="A231" s="5">
        <v>1</v>
      </c>
      <c r="B231" s="6" t="s">
        <v>20</v>
      </c>
      <c r="C231" s="16"/>
      <c r="D231" s="16"/>
      <c r="E231" s="17">
        <f>E232+E244+E249</f>
        <v>2383372.92</v>
      </c>
    </row>
    <row r="232" spans="1:5" ht="11.25" hidden="1" customHeight="1" x14ac:dyDescent="0.2">
      <c r="A232" s="7" t="s">
        <v>21</v>
      </c>
      <c r="B232" s="6" t="s">
        <v>22</v>
      </c>
      <c r="C232" s="16"/>
      <c r="D232" s="16"/>
      <c r="E232" s="17">
        <f>E233+E237</f>
        <v>1411049.52</v>
      </c>
    </row>
    <row r="233" spans="1:5" ht="11.25" hidden="1" customHeight="1" x14ac:dyDescent="0.2">
      <c r="A233" s="7" t="s">
        <v>23</v>
      </c>
      <c r="B233" s="6" t="s">
        <v>24</v>
      </c>
      <c r="C233" s="16"/>
      <c r="D233" s="16"/>
      <c r="E233" s="17">
        <f>E234+E235+E236</f>
        <v>162035.76</v>
      </c>
    </row>
    <row r="234" spans="1:5" ht="11.25" hidden="1" customHeight="1" x14ac:dyDescent="0.2">
      <c r="A234" s="8" t="s">
        <v>25</v>
      </c>
      <c r="B234" s="9" t="s">
        <v>26</v>
      </c>
      <c r="C234" s="16">
        <v>0.62</v>
      </c>
      <c r="D234" s="16">
        <v>14500</v>
      </c>
      <c r="E234" s="16">
        <f>ROUND(C234*D234,2)*12</f>
        <v>107880</v>
      </c>
    </row>
    <row r="235" spans="1:5" ht="11.25" hidden="1" customHeight="1" x14ac:dyDescent="0.2">
      <c r="A235" s="8" t="s">
        <v>27</v>
      </c>
      <c r="B235" s="9" t="s">
        <v>28</v>
      </c>
      <c r="C235" s="16">
        <v>30.2</v>
      </c>
      <c r="D235" s="16">
        <f>E234</f>
        <v>107880</v>
      </c>
      <c r="E235" s="16">
        <f>ROUND(C235*D235/100,2)</f>
        <v>32579.759999999998</v>
      </c>
    </row>
    <row r="236" spans="1:5" ht="11.25" hidden="1" customHeight="1" x14ac:dyDescent="0.2">
      <c r="A236" s="8" t="s">
        <v>29</v>
      </c>
      <c r="B236" s="9" t="s">
        <v>30</v>
      </c>
      <c r="C236" s="16"/>
      <c r="D236" s="16"/>
      <c r="E236" s="16">
        <v>21576</v>
      </c>
    </row>
    <row r="237" spans="1:5" ht="11.25" hidden="1" customHeight="1" x14ac:dyDescent="0.2">
      <c r="A237" s="7" t="s">
        <v>31</v>
      </c>
      <c r="B237" s="6" t="s">
        <v>32</v>
      </c>
      <c r="C237" s="16"/>
      <c r="D237" s="16"/>
      <c r="E237" s="17">
        <f>E238+E239+E240+E241+E242+E243</f>
        <v>1249013.76</v>
      </c>
    </row>
    <row r="238" spans="1:5" ht="11.25" hidden="1" customHeight="1" x14ac:dyDescent="0.2">
      <c r="A238" s="8" t="s">
        <v>33</v>
      </c>
      <c r="B238" s="9" t="s">
        <v>34</v>
      </c>
      <c r="C238" s="16">
        <v>3.83</v>
      </c>
      <c r="D238" s="16">
        <v>14500</v>
      </c>
      <c r="E238" s="16">
        <f>ROUND(C238*D238,2)*12</f>
        <v>666420</v>
      </c>
    </row>
    <row r="239" spans="1:5" ht="11.25" hidden="1" customHeight="1" x14ac:dyDescent="0.2">
      <c r="A239" s="8" t="s">
        <v>35</v>
      </c>
      <c r="B239" s="9" t="s">
        <v>36</v>
      </c>
      <c r="C239" s="16">
        <v>1.29</v>
      </c>
      <c r="D239" s="16">
        <v>14500</v>
      </c>
      <c r="E239" s="16">
        <f>ROUND(C239*D239,2)*12</f>
        <v>224460</v>
      </c>
    </row>
    <row r="240" spans="1:5" ht="11.25" hidden="1" customHeight="1" x14ac:dyDescent="0.2">
      <c r="A240" s="8" t="s">
        <v>37</v>
      </c>
      <c r="B240" s="9" t="s">
        <v>38</v>
      </c>
      <c r="C240" s="16">
        <v>30.2</v>
      </c>
      <c r="D240" s="16">
        <f>E238</f>
        <v>666420</v>
      </c>
      <c r="E240" s="16">
        <f>ROUND(C240*D240/100,2)</f>
        <v>201258.84</v>
      </c>
    </row>
    <row r="241" spans="1:5" ht="11.25" hidden="1" customHeight="1" x14ac:dyDescent="0.2">
      <c r="A241" s="8" t="s">
        <v>39</v>
      </c>
      <c r="B241" s="9" t="s">
        <v>40</v>
      </c>
      <c r="C241" s="16">
        <v>30.2</v>
      </c>
      <c r="D241" s="16">
        <f>E239</f>
        <v>224460</v>
      </c>
      <c r="E241" s="16">
        <f>ROUND(C241*D241/100,2)</f>
        <v>67786.92</v>
      </c>
    </row>
    <row r="242" spans="1:5" ht="11.25" hidden="1" customHeight="1" x14ac:dyDescent="0.2">
      <c r="A242" s="8" t="s">
        <v>41</v>
      </c>
      <c r="B242" s="9" t="s">
        <v>42</v>
      </c>
      <c r="C242" s="16"/>
      <c r="D242" s="16"/>
      <c r="E242" s="16">
        <v>66642</v>
      </c>
    </row>
    <row r="243" spans="1:5" ht="11.25" hidden="1" customHeight="1" x14ac:dyDescent="0.2">
      <c r="A243" s="8" t="s">
        <v>43</v>
      </c>
      <c r="B243" s="9" t="s">
        <v>44</v>
      </c>
      <c r="C243" s="16"/>
      <c r="D243" s="16"/>
      <c r="E243" s="16">
        <v>22446</v>
      </c>
    </row>
    <row r="244" spans="1:5" ht="11.25" hidden="1" customHeight="1" x14ac:dyDescent="0.2">
      <c r="A244" s="7" t="s">
        <v>45</v>
      </c>
      <c r="B244" s="6" t="s">
        <v>46</v>
      </c>
      <c r="C244" s="16"/>
      <c r="D244" s="16"/>
      <c r="E244" s="17">
        <f>E245+E246+E247+E248</f>
        <v>858829.2</v>
      </c>
    </row>
    <row r="245" spans="1:5" ht="11.25" hidden="1" customHeight="1" x14ac:dyDescent="0.2">
      <c r="A245" s="8" t="s">
        <v>47</v>
      </c>
      <c r="B245" s="9" t="s">
        <v>48</v>
      </c>
      <c r="C245" s="16">
        <f>E245/12/D245</f>
        <v>2.9</v>
      </c>
      <c r="D245" s="16">
        <v>14500</v>
      </c>
      <c r="E245" s="16">
        <v>504600</v>
      </c>
    </row>
    <row r="246" spans="1:5" ht="11.25" hidden="1" customHeight="1" x14ac:dyDescent="0.2">
      <c r="A246" s="8" t="s">
        <v>49</v>
      </c>
      <c r="B246" s="9" t="s">
        <v>50</v>
      </c>
      <c r="C246" s="16">
        <v>30.2</v>
      </c>
      <c r="D246" s="16">
        <f>E245</f>
        <v>504600</v>
      </c>
      <c r="E246" s="16">
        <f>ROUND(C246*D246/100,2)</f>
        <v>152389.20000000001</v>
      </c>
    </row>
    <row r="247" spans="1:5" ht="11.25" hidden="1" customHeight="1" x14ac:dyDescent="0.2">
      <c r="A247" s="8" t="s">
        <v>51</v>
      </c>
      <c r="B247" s="9" t="s">
        <v>52</v>
      </c>
      <c r="C247" s="16"/>
      <c r="D247" s="16"/>
      <c r="E247" s="16">
        <v>151380</v>
      </c>
    </row>
    <row r="248" spans="1:5" ht="11.25" hidden="1" customHeight="1" x14ac:dyDescent="0.2">
      <c r="A248" s="8" t="s">
        <v>53</v>
      </c>
      <c r="B248" s="9" t="s">
        <v>54</v>
      </c>
      <c r="C248" s="16"/>
      <c r="D248" s="16"/>
      <c r="E248" s="16">
        <v>50460</v>
      </c>
    </row>
    <row r="249" spans="1:5" ht="11.25" hidden="1" customHeight="1" x14ac:dyDescent="0.2">
      <c r="A249" s="7" t="s">
        <v>55</v>
      </c>
      <c r="B249" s="6" t="s">
        <v>56</v>
      </c>
      <c r="C249" s="16"/>
      <c r="D249" s="16"/>
      <c r="E249" s="17">
        <v>113494.2</v>
      </c>
    </row>
    <row r="250" spans="1:5" ht="11.25" hidden="1" customHeight="1" x14ac:dyDescent="0.2">
      <c r="A250" s="5">
        <v>2</v>
      </c>
      <c r="B250" s="6" t="s">
        <v>57</v>
      </c>
      <c r="C250" s="16"/>
      <c r="D250" s="16"/>
      <c r="E250" s="17">
        <f>E251+E252+E253+E254+E255+E256+E257</f>
        <v>737024.7300000001</v>
      </c>
    </row>
    <row r="251" spans="1:5" ht="11.25" hidden="1" customHeight="1" x14ac:dyDescent="0.2">
      <c r="A251" s="8" t="s">
        <v>58</v>
      </c>
      <c r="B251" s="9" t="s">
        <v>59</v>
      </c>
      <c r="C251" s="16">
        <v>814.9</v>
      </c>
      <c r="D251" s="16">
        <v>230.13</v>
      </c>
      <c r="E251" s="16">
        <v>187533.64</v>
      </c>
    </row>
    <row r="252" spans="1:5" ht="11.25" hidden="1" customHeight="1" x14ac:dyDescent="0.2">
      <c r="A252" s="8" t="s">
        <v>60</v>
      </c>
      <c r="B252" s="9" t="s">
        <v>61</v>
      </c>
      <c r="C252" s="16">
        <v>258.52</v>
      </c>
      <c r="D252" s="16">
        <v>499.77</v>
      </c>
      <c r="E252" s="16">
        <v>129200</v>
      </c>
    </row>
    <row r="253" spans="1:5" ht="11.25" hidden="1" customHeight="1" x14ac:dyDescent="0.2">
      <c r="A253" s="8" t="s">
        <v>62</v>
      </c>
      <c r="B253" s="9" t="s">
        <v>63</v>
      </c>
      <c r="C253" s="16">
        <v>122860</v>
      </c>
      <c r="D253" s="16">
        <v>2.44</v>
      </c>
      <c r="E253" s="16">
        <v>299778.40000000002</v>
      </c>
    </row>
    <row r="254" spans="1:5" ht="11.25" hidden="1" customHeight="1" x14ac:dyDescent="0.2">
      <c r="A254" s="8" t="s">
        <v>64</v>
      </c>
      <c r="B254" s="9" t="s">
        <v>65</v>
      </c>
      <c r="C254" s="16">
        <v>1161.5999999999999</v>
      </c>
      <c r="D254" s="16">
        <v>53.23</v>
      </c>
      <c r="E254" s="16">
        <v>61837.25</v>
      </c>
    </row>
    <row r="255" spans="1:5" ht="11.25" hidden="1" customHeight="1" x14ac:dyDescent="0.2">
      <c r="A255" s="8" t="s">
        <v>66</v>
      </c>
      <c r="B255" s="9" t="s">
        <v>67</v>
      </c>
      <c r="C255" s="16">
        <v>1285</v>
      </c>
      <c r="D255" s="16">
        <v>12.89</v>
      </c>
      <c r="E255" s="16">
        <v>16558</v>
      </c>
    </row>
    <row r="256" spans="1:5" ht="11.25" hidden="1" customHeight="1" x14ac:dyDescent="0.2">
      <c r="A256" s="8" t="s">
        <v>68</v>
      </c>
      <c r="B256" s="9" t="s">
        <v>69</v>
      </c>
      <c r="C256" s="16">
        <v>1285</v>
      </c>
      <c r="D256" s="16">
        <v>6.93</v>
      </c>
      <c r="E256" s="16">
        <v>8900.68</v>
      </c>
    </row>
    <row r="257" spans="1:5" ht="11.25" hidden="1" customHeight="1" x14ac:dyDescent="0.2">
      <c r="A257" s="8" t="s">
        <v>70</v>
      </c>
      <c r="B257" s="9" t="s">
        <v>71</v>
      </c>
      <c r="C257" s="16">
        <v>178.84</v>
      </c>
      <c r="D257" s="16">
        <v>185.73</v>
      </c>
      <c r="E257" s="16">
        <v>33216.76</v>
      </c>
    </row>
    <row r="258" spans="1:5" ht="11.25" hidden="1" customHeight="1" x14ac:dyDescent="0.2">
      <c r="A258" s="5">
        <v>3</v>
      </c>
      <c r="B258" s="6" t="s">
        <v>72</v>
      </c>
      <c r="C258" s="16"/>
      <c r="D258" s="16"/>
      <c r="E258" s="17">
        <f>E259+E260+E261+E262+E263+E264+E265+E266+E267+E268</f>
        <v>1589739.6400000001</v>
      </c>
    </row>
    <row r="259" spans="1:5" ht="11.25" hidden="1" customHeight="1" x14ac:dyDescent="0.2">
      <c r="A259" s="8" t="s">
        <v>73</v>
      </c>
      <c r="B259" s="9" t="s">
        <v>74</v>
      </c>
      <c r="C259" s="16">
        <v>8</v>
      </c>
      <c r="D259" s="16">
        <v>77937.63</v>
      </c>
      <c r="E259" s="16">
        <v>623501.05000000005</v>
      </c>
    </row>
    <row r="260" spans="1:5" ht="11.25" hidden="1" customHeight="1" x14ac:dyDescent="0.2">
      <c r="A260" s="8" t="s">
        <v>75</v>
      </c>
      <c r="B260" s="9" t="s">
        <v>76</v>
      </c>
      <c r="C260" s="16">
        <v>255</v>
      </c>
      <c r="D260" s="16">
        <v>208.96</v>
      </c>
      <c r="E260" s="16">
        <v>53285.18</v>
      </c>
    </row>
    <row r="261" spans="1:5" ht="11.25" hidden="1" customHeight="1" x14ac:dyDescent="0.2">
      <c r="A261" s="8" t="s">
        <v>77</v>
      </c>
      <c r="B261" s="9" t="s">
        <v>78</v>
      </c>
      <c r="C261" s="16">
        <v>4</v>
      </c>
      <c r="D261" s="16">
        <v>117901.4</v>
      </c>
      <c r="E261" s="16">
        <v>471605.6</v>
      </c>
    </row>
    <row r="262" spans="1:5" ht="11.25" hidden="1" customHeight="1" x14ac:dyDescent="0.2">
      <c r="A262" s="8" t="s">
        <v>79</v>
      </c>
      <c r="B262" s="9" t="s">
        <v>80</v>
      </c>
      <c r="C262" s="16">
        <v>14058</v>
      </c>
      <c r="D262" s="16">
        <v>6.07</v>
      </c>
      <c r="E262" s="16">
        <v>85281.17</v>
      </c>
    </row>
    <row r="263" spans="1:5" ht="11.25" hidden="1" customHeight="1" x14ac:dyDescent="0.2">
      <c r="A263" s="8" t="s">
        <v>81</v>
      </c>
      <c r="B263" s="9" t="s">
        <v>82</v>
      </c>
      <c r="C263" s="16">
        <v>612</v>
      </c>
      <c r="D263" s="16">
        <v>86.77</v>
      </c>
      <c r="E263" s="16">
        <v>53100.84</v>
      </c>
    </row>
    <row r="264" spans="1:5" ht="11.25" hidden="1" customHeight="1" x14ac:dyDescent="0.2">
      <c r="A264" s="8" t="s">
        <v>83</v>
      </c>
      <c r="B264" s="9" t="s">
        <v>84</v>
      </c>
      <c r="C264" s="16">
        <v>77</v>
      </c>
      <c r="D264" s="16">
        <v>268.75</v>
      </c>
      <c r="E264" s="16">
        <v>20693.86</v>
      </c>
    </row>
    <row r="265" spans="1:5" ht="11.25" hidden="1" customHeight="1" x14ac:dyDescent="0.2">
      <c r="A265" s="8" t="s">
        <v>85</v>
      </c>
      <c r="B265" s="9" t="s">
        <v>86</v>
      </c>
      <c r="C265" s="16">
        <v>0.5</v>
      </c>
      <c r="D265" s="16">
        <v>25357.599999999999</v>
      </c>
      <c r="E265" s="16">
        <v>12678.8</v>
      </c>
    </row>
    <row r="266" spans="1:5" ht="11.25" hidden="1" customHeight="1" x14ac:dyDescent="0.2">
      <c r="A266" s="8" t="s">
        <v>87</v>
      </c>
      <c r="B266" s="9" t="s">
        <v>88</v>
      </c>
      <c r="C266" s="16"/>
      <c r="D266" s="16"/>
      <c r="E266" s="16"/>
    </row>
    <row r="267" spans="1:5" ht="11.25" hidden="1" customHeight="1" x14ac:dyDescent="0.2">
      <c r="A267" s="8" t="s">
        <v>89</v>
      </c>
      <c r="B267" s="9" t="s">
        <v>90</v>
      </c>
      <c r="C267" s="16"/>
      <c r="D267" s="16"/>
      <c r="E267" s="16"/>
    </row>
    <row r="268" spans="1:5" ht="11.25" hidden="1" customHeight="1" x14ac:dyDescent="0.2">
      <c r="A268" s="8" t="s">
        <v>91</v>
      </c>
      <c r="B268" s="9" t="s">
        <v>92</v>
      </c>
      <c r="C268" s="16"/>
      <c r="D268" s="16"/>
      <c r="E268" s="16">
        <v>269593.14</v>
      </c>
    </row>
    <row r="269" spans="1:5" ht="11.25" hidden="1" customHeight="1" x14ac:dyDescent="0.2">
      <c r="A269" s="5">
        <v>4</v>
      </c>
      <c r="B269" s="6" t="s">
        <v>93</v>
      </c>
      <c r="C269" s="16"/>
      <c r="D269" s="16"/>
      <c r="E269" s="17">
        <v>376192.08</v>
      </c>
    </row>
    <row r="270" spans="1:5" ht="11.25" hidden="1" customHeight="1" x14ac:dyDescent="0.2">
      <c r="A270" s="10"/>
      <c r="B270" s="11" t="s">
        <v>94</v>
      </c>
      <c r="C270" s="21"/>
      <c r="D270" s="21"/>
      <c r="E270" s="28">
        <f>E231+E250+E258+E269</f>
        <v>5086329.37</v>
      </c>
    </row>
    <row r="271" spans="1:5" ht="11.25" hidden="1" customHeight="1" x14ac:dyDescent="0.25">
      <c r="A271" s="10"/>
      <c r="B271" s="11" t="s">
        <v>95</v>
      </c>
      <c r="C271" s="21"/>
      <c r="D271" s="21"/>
      <c r="E271" s="22">
        <f>ROUND(ROUND(E270/12,2)/E218,2)</f>
        <v>30.15</v>
      </c>
    </row>
    <row r="272" spans="1:5" ht="10.95" hidden="1" customHeight="1" x14ac:dyDescent="0.2"/>
    <row r="273" spans="1:6" ht="10.95" hidden="1" customHeight="1" x14ac:dyDescent="0.2"/>
    <row r="274" spans="1:6" ht="10.95" hidden="1" customHeight="1" x14ac:dyDescent="0.2"/>
    <row r="275" spans="1:6" ht="10.95" hidden="1" customHeight="1" x14ac:dyDescent="0.2"/>
    <row r="276" spans="1:6" ht="15" hidden="1" customHeight="1" x14ac:dyDescent="0.25">
      <c r="B276" s="12" t="s">
        <v>96</v>
      </c>
    </row>
    <row r="277" spans="1:6" ht="12" hidden="1" customHeight="1" x14ac:dyDescent="0.2"/>
    <row r="278" spans="1:6" ht="13.2" hidden="1" customHeight="1" x14ac:dyDescent="0.25">
      <c r="B278" s="3" t="s">
        <v>97</v>
      </c>
    </row>
    <row r="279" spans="1:6" ht="7.95" hidden="1" customHeight="1" x14ac:dyDescent="0.2"/>
    <row r="280" spans="1:6" ht="12" hidden="1" customHeight="1" x14ac:dyDescent="0.25">
      <c r="B280" s="41" t="s">
        <v>100</v>
      </c>
      <c r="C280" s="41"/>
      <c r="D280" s="41"/>
      <c r="E280" s="41"/>
    </row>
    <row r="281" spans="1:6" s="38" customFormat="1" ht="10.95" customHeight="1" x14ac:dyDescent="0.2">
      <c r="A281" s="36"/>
      <c r="B281" s="36"/>
      <c r="C281" s="37"/>
      <c r="D281" s="37"/>
      <c r="E281" s="37"/>
      <c r="F281" s="37"/>
    </row>
    <row r="282" spans="1:6" ht="15" customHeight="1" x14ac:dyDescent="0.25">
      <c r="B282" s="14"/>
      <c r="E282" s="29"/>
    </row>
    <row r="283" spans="1:6" ht="10.95" customHeight="1" x14ac:dyDescent="0.2"/>
    <row r="284" spans="1:6" ht="12" customHeight="1" x14ac:dyDescent="0.25">
      <c r="B284" s="41" t="s">
        <v>100</v>
      </c>
      <c r="C284" s="41"/>
      <c r="D284" s="41"/>
      <c r="E284" s="41"/>
    </row>
    <row r="285" spans="1:6" ht="12" customHeight="1" x14ac:dyDescent="0.25">
      <c r="B285" s="13"/>
      <c r="C285" s="29"/>
      <c r="D285" s="29"/>
      <c r="E285" s="29"/>
    </row>
    <row r="286" spans="1:6" ht="12" customHeight="1" x14ac:dyDescent="0.25">
      <c r="B286" s="13"/>
      <c r="C286" s="29"/>
      <c r="D286" s="29"/>
      <c r="E286" s="29"/>
    </row>
    <row r="287" spans="1:6" ht="12" customHeight="1" x14ac:dyDescent="0.25">
      <c r="B287" s="13"/>
      <c r="C287" s="29"/>
      <c r="D287" s="29"/>
      <c r="E287" s="29"/>
    </row>
    <row r="288" spans="1:6" ht="16.2" customHeight="1" x14ac:dyDescent="0.2">
      <c r="A288" s="39" t="s">
        <v>0</v>
      </c>
      <c r="B288" s="39"/>
      <c r="C288" s="39"/>
      <c r="D288" s="39"/>
      <c r="E288" s="39"/>
    </row>
    <row r="289" spans="1:5" ht="10.95" customHeight="1" x14ac:dyDescent="0.2">
      <c r="A289" s="40" t="s">
        <v>1</v>
      </c>
      <c r="B289" s="40"/>
      <c r="C289" s="40"/>
      <c r="D289" s="40"/>
      <c r="E289" s="40"/>
    </row>
    <row r="290" spans="1:5" ht="13.2" customHeight="1" x14ac:dyDescent="0.2">
      <c r="A290" s="40" t="s">
        <v>197</v>
      </c>
      <c r="B290" s="40"/>
      <c r="C290" s="40"/>
      <c r="D290" s="40"/>
      <c r="E290" s="40"/>
    </row>
    <row r="291" spans="1:5" ht="10.95" customHeight="1" x14ac:dyDescent="0.2"/>
    <row r="292" spans="1:5" ht="10.95" customHeight="1" x14ac:dyDescent="0.2">
      <c r="C292" s="42" t="s">
        <v>3</v>
      </c>
      <c r="D292" s="42"/>
      <c r="E292" s="42"/>
    </row>
    <row r="293" spans="1:5" ht="12" customHeight="1" x14ac:dyDescent="0.2">
      <c r="D293" s="26" t="s">
        <v>4</v>
      </c>
      <c r="E293" s="24">
        <v>25848.400000000001</v>
      </c>
    </row>
    <row r="294" spans="1:5" ht="12" customHeight="1" x14ac:dyDescent="0.2">
      <c r="D294" s="26" t="s">
        <v>5</v>
      </c>
      <c r="E294" s="23">
        <v>511.9</v>
      </c>
    </row>
    <row r="295" spans="1:5" ht="12" customHeight="1" x14ac:dyDescent="0.2">
      <c r="D295" s="26" t="s">
        <v>6</v>
      </c>
      <c r="E295" s="30">
        <v>7</v>
      </c>
    </row>
    <row r="296" spans="1:5" ht="12" customHeight="1" x14ac:dyDescent="0.2">
      <c r="D296" s="26" t="s">
        <v>7</v>
      </c>
      <c r="E296" s="30">
        <v>17</v>
      </c>
    </row>
    <row r="297" spans="1:5" ht="12" customHeight="1" x14ac:dyDescent="0.2">
      <c r="D297" s="26" t="s">
        <v>8</v>
      </c>
      <c r="E297" s="30">
        <v>467</v>
      </c>
    </row>
    <row r="298" spans="1:5" ht="12" customHeight="1" x14ac:dyDescent="0.2">
      <c r="D298" s="26" t="s">
        <v>9</v>
      </c>
      <c r="E298" s="30">
        <v>1271</v>
      </c>
    </row>
    <row r="299" spans="1:5" ht="12" customHeight="1" x14ac:dyDescent="0.2">
      <c r="D299" s="26" t="s">
        <v>10</v>
      </c>
      <c r="E299" s="30">
        <v>14</v>
      </c>
    </row>
    <row r="300" spans="1:5" ht="12" customHeight="1" x14ac:dyDescent="0.2">
      <c r="D300" s="26" t="s">
        <v>11</v>
      </c>
      <c r="E300" s="30">
        <v>7</v>
      </c>
    </row>
    <row r="301" spans="1:5" ht="12" customHeight="1" x14ac:dyDescent="0.2">
      <c r="D301" s="26" t="s">
        <v>12</v>
      </c>
      <c r="E301" s="30">
        <v>0</v>
      </c>
    </row>
    <row r="302" spans="1:5" ht="12" customHeight="1" x14ac:dyDescent="0.2">
      <c r="D302" s="26" t="s">
        <v>13</v>
      </c>
      <c r="E302" s="30">
        <v>5160</v>
      </c>
    </row>
    <row r="303" spans="1:5" ht="12" customHeight="1" x14ac:dyDescent="0.25">
      <c r="A303" s="2" t="s">
        <v>14</v>
      </c>
      <c r="B303" s="3" t="s">
        <v>106</v>
      </c>
    </row>
    <row r="304" spans="1:5" ht="10.95" customHeight="1" x14ac:dyDescent="0.2"/>
    <row r="305" spans="1:6" ht="45" customHeight="1" x14ac:dyDescent="0.2">
      <c r="A305" s="4" t="s">
        <v>15</v>
      </c>
      <c r="B305" s="4" t="s">
        <v>131</v>
      </c>
      <c r="C305" s="27" t="s">
        <v>17</v>
      </c>
      <c r="D305" s="27" t="s">
        <v>103</v>
      </c>
      <c r="E305" s="27" t="s">
        <v>19</v>
      </c>
    </row>
    <row r="306" spans="1:6" ht="31.5" customHeight="1" x14ac:dyDescent="0.2">
      <c r="A306" s="5">
        <v>1</v>
      </c>
      <c r="B306" s="6" t="s">
        <v>190</v>
      </c>
      <c r="C306" s="16"/>
      <c r="D306" s="16"/>
      <c r="E306" s="17">
        <f>E307+E314</f>
        <v>4075401.8679999998</v>
      </c>
    </row>
    <row r="307" spans="1:6" ht="15.9" customHeight="1" x14ac:dyDescent="0.2">
      <c r="A307" s="7" t="s">
        <v>21</v>
      </c>
      <c r="B307" s="6" t="s">
        <v>137</v>
      </c>
      <c r="C307" s="16"/>
      <c r="D307" s="16"/>
      <c r="E307" s="17">
        <f>SUM(E308:E313)</f>
        <v>2187767.1379999998</v>
      </c>
    </row>
    <row r="308" spans="1:6" ht="11.25" customHeight="1" x14ac:dyDescent="0.2">
      <c r="A308" s="15" t="s">
        <v>23</v>
      </c>
      <c r="B308" s="9" t="s">
        <v>34</v>
      </c>
      <c r="C308" s="16">
        <v>4.26</v>
      </c>
      <c r="D308" s="16">
        <v>18781</v>
      </c>
      <c r="E308" s="19">
        <f>ROUND(C308*D308,2)*12</f>
        <v>960084.72</v>
      </c>
      <c r="F308" s="20"/>
    </row>
    <row r="309" spans="1:6" ht="11.25" customHeight="1" x14ac:dyDescent="0.2">
      <c r="A309" s="8" t="s">
        <v>31</v>
      </c>
      <c r="B309" s="9" t="s">
        <v>36</v>
      </c>
      <c r="C309" s="16">
        <v>2.92</v>
      </c>
      <c r="D309" s="16">
        <v>18781</v>
      </c>
      <c r="E309" s="19">
        <f>ROUND(C309*D309,2)*12</f>
        <v>658086.24</v>
      </c>
    </row>
    <row r="310" spans="1:6" ht="11.25" customHeight="1" x14ac:dyDescent="0.2">
      <c r="A310" s="8" t="s">
        <v>121</v>
      </c>
      <c r="B310" s="9" t="s">
        <v>38</v>
      </c>
      <c r="C310" s="16">
        <v>30.2</v>
      </c>
      <c r="D310" s="16">
        <f>E308</f>
        <v>960084.72</v>
      </c>
      <c r="E310" s="19">
        <f>ROUND(C310*D310/100,2)</f>
        <v>289945.59000000003</v>
      </c>
    </row>
    <row r="311" spans="1:6" ht="11.25" customHeight="1" x14ac:dyDescent="0.2">
      <c r="A311" s="8" t="s">
        <v>186</v>
      </c>
      <c r="B311" s="9" t="s">
        <v>40</v>
      </c>
      <c r="C311" s="16">
        <v>30.2</v>
      </c>
      <c r="D311" s="16">
        <f>E309</f>
        <v>658086.24</v>
      </c>
      <c r="E311" s="19">
        <f>ROUND(C311*D311/100,2)</f>
        <v>198742.04</v>
      </c>
    </row>
    <row r="312" spans="1:6" ht="11.25" customHeight="1" x14ac:dyDescent="0.2">
      <c r="A312" s="8" t="s">
        <v>187</v>
      </c>
      <c r="B312" s="9" t="s">
        <v>42</v>
      </c>
      <c r="C312" s="16"/>
      <c r="D312" s="16"/>
      <c r="E312" s="19">
        <f>E308*0.05</f>
        <v>48004.236000000004</v>
      </c>
    </row>
    <row r="313" spans="1:6" ht="11.25" customHeight="1" x14ac:dyDescent="0.2">
      <c r="A313" s="8" t="s">
        <v>188</v>
      </c>
      <c r="B313" s="9" t="s">
        <v>44</v>
      </c>
      <c r="C313" s="16"/>
      <c r="D313" s="16"/>
      <c r="E313" s="19">
        <f>E309*0.05</f>
        <v>32904.311999999998</v>
      </c>
    </row>
    <row r="314" spans="1:6" ht="15.9" customHeight="1" x14ac:dyDescent="0.2">
      <c r="A314" s="7" t="s">
        <v>45</v>
      </c>
      <c r="B314" s="6" t="s">
        <v>138</v>
      </c>
      <c r="C314" s="16"/>
      <c r="D314" s="16"/>
      <c r="E314" s="17">
        <f>E315+E316+E317+E318</f>
        <v>1887634.7300000002</v>
      </c>
    </row>
    <row r="315" spans="1:6" ht="11.25" customHeight="1" x14ac:dyDescent="0.2">
      <c r="A315" s="8" t="s">
        <v>47</v>
      </c>
      <c r="B315" s="9" t="s">
        <v>48</v>
      </c>
      <c r="C315" s="16">
        <v>5.07</v>
      </c>
      <c r="D315" s="16">
        <v>18781</v>
      </c>
      <c r="E315" s="19">
        <f>ROUND(C315*D315,2)*12</f>
        <v>1142636.04</v>
      </c>
      <c r="F315" s="20"/>
    </row>
    <row r="316" spans="1:6" ht="11.25" customHeight="1" x14ac:dyDescent="0.2">
      <c r="A316" s="8" t="s">
        <v>49</v>
      </c>
      <c r="B316" s="9" t="s">
        <v>50</v>
      </c>
      <c r="C316" s="16">
        <v>30.2</v>
      </c>
      <c r="D316" s="16">
        <f>E315</f>
        <v>1142636.04</v>
      </c>
      <c r="E316" s="19">
        <f>ROUND(C316*D316/100,2)</f>
        <v>345076.08</v>
      </c>
    </row>
    <row r="317" spans="1:6" ht="11.25" customHeight="1" x14ac:dyDescent="0.2">
      <c r="A317" s="8" t="s">
        <v>51</v>
      </c>
      <c r="B317" s="9" t="s">
        <v>52</v>
      </c>
      <c r="C317" s="16"/>
      <c r="D317" s="16"/>
      <c r="E317" s="19">
        <f>ROUND(E315*0.3,2)</f>
        <v>342790.81</v>
      </c>
    </row>
    <row r="318" spans="1:6" ht="11.25" customHeight="1" x14ac:dyDescent="0.2">
      <c r="A318" s="8" t="s">
        <v>53</v>
      </c>
      <c r="B318" s="9" t="s">
        <v>54</v>
      </c>
      <c r="C318" s="16"/>
      <c r="D318" s="16"/>
      <c r="E318" s="19">
        <f>ROUND(E315*0.05,2)</f>
        <v>57131.8</v>
      </c>
    </row>
    <row r="319" spans="1:6" ht="20.100000000000001" customHeight="1" x14ac:dyDescent="0.2">
      <c r="A319" s="5">
        <v>2</v>
      </c>
      <c r="B319" s="6" t="s">
        <v>57</v>
      </c>
      <c r="C319" s="16"/>
      <c r="D319" s="16"/>
      <c r="E319" s="17">
        <f>E320+E322+E323+E324+E325+E326+E321</f>
        <v>2328076.7800000003</v>
      </c>
    </row>
    <row r="320" spans="1:6" ht="11.25" customHeight="1" x14ac:dyDescent="0.2">
      <c r="A320" s="35" t="s">
        <v>58</v>
      </c>
      <c r="B320" s="9" t="s">
        <v>204</v>
      </c>
      <c r="C320" s="16">
        <v>1842.95</v>
      </c>
      <c r="D320" s="16">
        <f>E320/C320</f>
        <v>177.96999918608751</v>
      </c>
      <c r="E320" s="19">
        <v>327989.81</v>
      </c>
    </row>
    <row r="321" spans="1:6" ht="11.25" customHeight="1" x14ac:dyDescent="0.2">
      <c r="A321" s="35" t="s">
        <v>60</v>
      </c>
      <c r="B321" s="9" t="s">
        <v>195</v>
      </c>
      <c r="C321" s="16">
        <v>1842.95</v>
      </c>
      <c r="D321" s="16">
        <f>E321/C321</f>
        <v>219.63343552456658</v>
      </c>
      <c r="E321" s="19">
        <v>404773.44</v>
      </c>
    </row>
    <row r="322" spans="1:6" ht="11.25" customHeight="1" x14ac:dyDescent="0.2">
      <c r="A322" s="35" t="s">
        <v>62</v>
      </c>
      <c r="B322" s="9" t="s">
        <v>196</v>
      </c>
      <c r="C322" s="16">
        <v>584.66</v>
      </c>
      <c r="D322" s="16">
        <f>E322/C322</f>
        <v>848.40124174734046</v>
      </c>
      <c r="E322" s="19">
        <v>496026.27</v>
      </c>
    </row>
    <row r="323" spans="1:6" ht="11.25" customHeight="1" x14ac:dyDescent="0.2">
      <c r="A323" s="35" t="s">
        <v>64</v>
      </c>
      <c r="B323" s="9" t="s">
        <v>63</v>
      </c>
      <c r="C323" s="16">
        <f>E323/D323</f>
        <v>183335.34324942794</v>
      </c>
      <c r="D323" s="16">
        <v>4.37</v>
      </c>
      <c r="E323" s="19">
        <f>770932.01-18232.84+48476.28</f>
        <v>801175.45000000007</v>
      </c>
      <c r="F323" s="20"/>
    </row>
    <row r="324" spans="1:6" ht="11.25" customHeight="1" x14ac:dyDescent="0.2">
      <c r="A324" s="35" t="s">
        <v>66</v>
      </c>
      <c r="B324" s="9" t="s">
        <v>65</v>
      </c>
      <c r="C324" s="16">
        <f>E324/D324</f>
        <v>3390.5181324328291</v>
      </c>
      <c r="D324" s="16">
        <v>68.11</v>
      </c>
      <c r="E324" s="19">
        <v>230928.19</v>
      </c>
    </row>
    <row r="325" spans="1:6" ht="11.25" customHeight="1" x14ac:dyDescent="0.2">
      <c r="A325" s="35" t="s">
        <v>68</v>
      </c>
      <c r="B325" s="9" t="s">
        <v>69</v>
      </c>
      <c r="C325" s="16">
        <v>2487.5</v>
      </c>
      <c r="D325" s="16">
        <f>E325/C325</f>
        <v>3.349997989949749</v>
      </c>
      <c r="E325" s="19">
        <v>8333.1200000000008</v>
      </c>
    </row>
    <row r="326" spans="1:6" ht="11.25" customHeight="1" x14ac:dyDescent="0.2">
      <c r="A326" s="35" t="s">
        <v>70</v>
      </c>
      <c r="B326" s="9" t="s">
        <v>71</v>
      </c>
      <c r="C326" s="16">
        <v>312.97000000000003</v>
      </c>
      <c r="D326" s="16">
        <f>E326/C326</f>
        <v>188.03878966035083</v>
      </c>
      <c r="E326" s="19">
        <v>58850.5</v>
      </c>
    </row>
    <row r="327" spans="1:6" ht="20.100000000000001" customHeight="1" x14ac:dyDescent="0.2">
      <c r="A327" s="5">
        <v>3</v>
      </c>
      <c r="B327" s="6" t="s">
        <v>72</v>
      </c>
      <c r="C327" s="16"/>
      <c r="D327" s="16"/>
      <c r="E327" s="17">
        <f>E328+E329+E330+E331+E332+E333+E334+E335+E336+E338+E337</f>
        <v>1785294.4714019985</v>
      </c>
    </row>
    <row r="328" spans="1:6" ht="11.25" customHeight="1" x14ac:dyDescent="0.2">
      <c r="A328" s="8" t="s">
        <v>73</v>
      </c>
      <c r="B328" s="9" t="s">
        <v>74</v>
      </c>
      <c r="C328" s="34">
        <v>14</v>
      </c>
      <c r="D328" s="16">
        <f>E328/C328/12</f>
        <v>4811.9639880952373</v>
      </c>
      <c r="E328" s="19">
        <v>808409.95</v>
      </c>
    </row>
    <row r="329" spans="1:6" ht="11.25" customHeight="1" x14ac:dyDescent="0.2">
      <c r="A329" s="8" t="s">
        <v>75</v>
      </c>
      <c r="B329" s="9" t="s">
        <v>76</v>
      </c>
      <c r="C329" s="34">
        <v>467</v>
      </c>
      <c r="D329" s="16">
        <f>E329/C329</f>
        <v>199.16023554603854</v>
      </c>
      <c r="E329" s="19">
        <v>93007.83</v>
      </c>
    </row>
    <row r="330" spans="1:6" ht="11.25" customHeight="1" x14ac:dyDescent="0.2">
      <c r="A330" s="8" t="s">
        <v>77</v>
      </c>
      <c r="B330" s="9" t="s">
        <v>78</v>
      </c>
      <c r="C330" s="34">
        <v>7</v>
      </c>
      <c r="D330" s="16">
        <f>E330/C330/12</f>
        <v>7402.6133333333337</v>
      </c>
      <c r="E330" s="19">
        <v>621819.52</v>
      </c>
    </row>
    <row r="331" spans="1:6" ht="11.25" customHeight="1" x14ac:dyDescent="0.2">
      <c r="A331" s="8" t="s">
        <v>79</v>
      </c>
      <c r="B331" s="9" t="s">
        <v>80</v>
      </c>
      <c r="C331" s="16">
        <v>25848.400000000001</v>
      </c>
      <c r="D331" s="16">
        <f>E331/C331</f>
        <v>4.2322569288621343</v>
      </c>
      <c r="E331" s="19">
        <v>109397.07</v>
      </c>
    </row>
    <row r="332" spans="1:6" ht="11.25" customHeight="1" x14ac:dyDescent="0.2">
      <c r="A332" s="8" t="s">
        <v>81</v>
      </c>
      <c r="B332" s="9" t="s">
        <v>82</v>
      </c>
      <c r="C332" s="34">
        <v>934</v>
      </c>
      <c r="D332" s="16">
        <f>E332/C332</f>
        <v>70.560942184154172</v>
      </c>
      <c r="E332" s="19">
        <v>65903.92</v>
      </c>
    </row>
    <row r="333" spans="1:6" ht="11.25" customHeight="1" x14ac:dyDescent="0.2">
      <c r="A333" s="8" t="s">
        <v>83</v>
      </c>
      <c r="B333" s="9" t="s">
        <v>194</v>
      </c>
      <c r="C333" s="34">
        <v>467</v>
      </c>
      <c r="D333" s="16">
        <f>E333/C333</f>
        <v>87.681284796573877</v>
      </c>
      <c r="E333" s="19">
        <v>40947.160000000003</v>
      </c>
    </row>
    <row r="334" spans="1:6" ht="11.25" customHeight="1" x14ac:dyDescent="0.2">
      <c r="A334" s="8" t="s">
        <v>85</v>
      </c>
      <c r="B334" s="9" t="s">
        <v>86</v>
      </c>
      <c r="C334" s="16">
        <v>0.5</v>
      </c>
      <c r="D334" s="16">
        <f>E334/C334</f>
        <v>19206.259999999998</v>
      </c>
      <c r="E334" s="19">
        <v>9603.1299999999992</v>
      </c>
    </row>
    <row r="335" spans="1:6" ht="11.25" customHeight="1" x14ac:dyDescent="0.2">
      <c r="A335" s="8" t="s">
        <v>87</v>
      </c>
      <c r="B335" s="9" t="s">
        <v>88</v>
      </c>
      <c r="C335" s="16"/>
      <c r="D335" s="16"/>
      <c r="E335" s="19">
        <v>0</v>
      </c>
    </row>
    <row r="336" spans="1:6" ht="11.25" customHeight="1" x14ac:dyDescent="0.2">
      <c r="A336" s="8" t="s">
        <v>89</v>
      </c>
      <c r="B336" s="9" t="s">
        <v>90</v>
      </c>
      <c r="C336" s="16"/>
      <c r="D336" s="16"/>
      <c r="E336" s="19">
        <v>0</v>
      </c>
    </row>
    <row r="337" spans="1:6" ht="11.25" customHeight="1" x14ac:dyDescent="0.2">
      <c r="A337" s="8" t="s">
        <v>91</v>
      </c>
      <c r="B337" s="9" t="s">
        <v>202</v>
      </c>
      <c r="C337" s="34">
        <v>14</v>
      </c>
      <c r="D337" s="16">
        <f>E337/C337</f>
        <v>2586.1351001427824</v>
      </c>
      <c r="E337" s="19">
        <f>1773.04*4*1.2+2826.16*10*1.2*0.81663515754</f>
        <v>36205.891401998953</v>
      </c>
    </row>
    <row r="338" spans="1:6" ht="11.25" customHeight="1" x14ac:dyDescent="0.2">
      <c r="A338" s="8" t="s">
        <v>203</v>
      </c>
      <c r="B338" s="9" t="s">
        <v>92</v>
      </c>
      <c r="C338" s="16"/>
      <c r="D338" s="16"/>
      <c r="E338" s="19">
        <v>0</v>
      </c>
    </row>
    <row r="339" spans="1:6" ht="15" customHeight="1" x14ac:dyDescent="0.2">
      <c r="A339" s="5">
        <v>4</v>
      </c>
      <c r="B339" s="6" t="s">
        <v>193</v>
      </c>
      <c r="C339" s="16"/>
      <c r="D339" s="16"/>
      <c r="E339" s="17">
        <f>F340/1.1*0.1</f>
        <v>818877.31199999992</v>
      </c>
    </row>
    <row r="340" spans="1:6" ht="18.75" customHeight="1" x14ac:dyDescent="0.2">
      <c r="A340" s="10"/>
      <c r="B340" s="11" t="s">
        <v>94</v>
      </c>
      <c r="C340" s="21"/>
      <c r="D340" s="21"/>
      <c r="E340" s="17">
        <f>E306+E319+E327+E339</f>
        <v>9007650.4314019978</v>
      </c>
      <c r="F340" s="25">
        <f>E293*29.04*12</f>
        <v>9007650.432</v>
      </c>
    </row>
    <row r="341" spans="1:6" ht="15" customHeight="1" x14ac:dyDescent="0.25">
      <c r="A341" s="10"/>
      <c r="B341" s="11" t="s">
        <v>199</v>
      </c>
      <c r="C341" s="21"/>
      <c r="D341" s="21"/>
      <c r="E341" s="22">
        <v>29.04</v>
      </c>
    </row>
    <row r="342" spans="1:6" ht="10.95" customHeight="1" x14ac:dyDescent="0.2"/>
    <row r="343" spans="1:6" ht="10.95" customHeight="1" x14ac:dyDescent="0.2"/>
    <row r="344" spans="1:6" ht="10.95" customHeight="1" x14ac:dyDescent="0.2"/>
    <row r="345" spans="1:6" ht="15" customHeight="1" x14ac:dyDescent="0.25">
      <c r="B345" s="12" t="s">
        <v>96</v>
      </c>
    </row>
    <row r="346" spans="1:6" ht="12" customHeight="1" x14ac:dyDescent="0.2"/>
    <row r="347" spans="1:6" ht="13.2" customHeight="1" x14ac:dyDescent="0.25">
      <c r="B347" s="3" t="s">
        <v>97</v>
      </c>
    </row>
    <row r="348" spans="1:6" ht="7.95" customHeight="1" x14ac:dyDescent="0.2"/>
    <row r="349" spans="1:6" ht="12" customHeight="1" x14ac:dyDescent="0.25">
      <c r="B349" s="41" t="s">
        <v>100</v>
      </c>
      <c r="C349" s="41"/>
      <c r="D349" s="41"/>
      <c r="E349" s="41"/>
    </row>
    <row r="350" spans="1:6" ht="10.95" customHeight="1" x14ac:dyDescent="0.2"/>
    <row r="351" spans="1:6" ht="10.95" customHeight="1" x14ac:dyDescent="0.2"/>
    <row r="352" spans="1:6" ht="10.95" customHeight="1" x14ac:dyDescent="0.2"/>
    <row r="353" spans="1:5" ht="16.2" customHeight="1" x14ac:dyDescent="0.2">
      <c r="A353" s="39" t="s">
        <v>0</v>
      </c>
      <c r="B353" s="39"/>
      <c r="C353" s="39"/>
      <c r="D353" s="39"/>
      <c r="E353" s="39"/>
    </row>
    <row r="354" spans="1:5" ht="10.95" customHeight="1" x14ac:dyDescent="0.2">
      <c r="A354" s="40" t="s">
        <v>1</v>
      </c>
      <c r="B354" s="40"/>
      <c r="C354" s="40"/>
      <c r="D354" s="40"/>
      <c r="E354" s="40"/>
    </row>
    <row r="355" spans="1:5" ht="13.2" customHeight="1" x14ac:dyDescent="0.2">
      <c r="A355" s="40" t="s">
        <v>198</v>
      </c>
      <c r="B355" s="40"/>
      <c r="C355" s="40"/>
      <c r="D355" s="40"/>
      <c r="E355" s="40"/>
    </row>
    <row r="356" spans="1:5" ht="10.95" customHeight="1" x14ac:dyDescent="0.2"/>
    <row r="357" spans="1:5" ht="10.95" customHeight="1" x14ac:dyDescent="0.2">
      <c r="C357" s="42" t="s">
        <v>3</v>
      </c>
      <c r="D357" s="42"/>
      <c r="E357" s="42"/>
    </row>
    <row r="358" spans="1:5" ht="12" customHeight="1" x14ac:dyDescent="0.2">
      <c r="D358" s="26" t="s">
        <v>4</v>
      </c>
      <c r="E358" s="24">
        <v>6996.2</v>
      </c>
    </row>
    <row r="359" spans="1:5" ht="12" customHeight="1" x14ac:dyDescent="0.2">
      <c r="D359" s="26" t="s">
        <v>5</v>
      </c>
      <c r="E359" s="23">
        <v>2948.7</v>
      </c>
    </row>
    <row r="360" spans="1:5" ht="12" customHeight="1" x14ac:dyDescent="0.2">
      <c r="D360" s="26" t="s">
        <v>6</v>
      </c>
      <c r="E360" s="30">
        <v>2</v>
      </c>
    </row>
    <row r="361" spans="1:5" ht="12" customHeight="1" x14ac:dyDescent="0.2">
      <c r="D361" s="26" t="s">
        <v>7</v>
      </c>
      <c r="E361" s="30">
        <v>17</v>
      </c>
    </row>
    <row r="362" spans="1:5" ht="12" customHeight="1" x14ac:dyDescent="0.2">
      <c r="D362" s="26" t="s">
        <v>8</v>
      </c>
      <c r="E362" s="30">
        <v>128</v>
      </c>
    </row>
    <row r="363" spans="1:5" ht="12" customHeight="1" x14ac:dyDescent="0.2">
      <c r="D363" s="26" t="s">
        <v>9</v>
      </c>
      <c r="E363" s="30">
        <v>323</v>
      </c>
    </row>
    <row r="364" spans="1:5" ht="12" customHeight="1" x14ac:dyDescent="0.2">
      <c r="D364" s="26" t="s">
        <v>10</v>
      </c>
      <c r="E364" s="30">
        <v>4</v>
      </c>
    </row>
    <row r="365" spans="1:5" ht="12" customHeight="1" x14ac:dyDescent="0.2">
      <c r="D365" s="26" t="s">
        <v>11</v>
      </c>
      <c r="E365" s="30">
        <v>2</v>
      </c>
    </row>
    <row r="366" spans="1:5" ht="12" customHeight="1" x14ac:dyDescent="0.2">
      <c r="D366" s="26" t="s">
        <v>12</v>
      </c>
      <c r="E366" s="30">
        <v>0</v>
      </c>
    </row>
    <row r="367" spans="1:5" ht="12" customHeight="1" x14ac:dyDescent="0.2">
      <c r="D367" s="26" t="s">
        <v>13</v>
      </c>
      <c r="E367" s="30">
        <v>1294</v>
      </c>
    </row>
    <row r="368" spans="1:5" ht="12" customHeight="1" x14ac:dyDescent="0.25">
      <c r="A368" s="2" t="s">
        <v>14</v>
      </c>
      <c r="B368" s="3" t="s">
        <v>107</v>
      </c>
    </row>
    <row r="369" spans="1:6" ht="10.95" customHeight="1" x14ac:dyDescent="0.2"/>
    <row r="370" spans="1:6" ht="45" customHeight="1" x14ac:dyDescent="0.2">
      <c r="A370" s="4" t="s">
        <v>15</v>
      </c>
      <c r="B370" s="4" t="s">
        <v>131</v>
      </c>
      <c r="C370" s="27" t="s">
        <v>17</v>
      </c>
      <c r="D370" s="27" t="s">
        <v>103</v>
      </c>
      <c r="E370" s="27" t="s">
        <v>19</v>
      </c>
    </row>
    <row r="371" spans="1:6" ht="31.5" customHeight="1" x14ac:dyDescent="0.2">
      <c r="A371" s="5">
        <v>1</v>
      </c>
      <c r="B371" s="6" t="s">
        <v>190</v>
      </c>
      <c r="C371" s="16"/>
      <c r="D371" s="16"/>
      <c r="E371" s="17">
        <f>E372+E379</f>
        <v>1035521.2359999998</v>
      </c>
    </row>
    <row r="372" spans="1:6" ht="15.9" customHeight="1" x14ac:dyDescent="0.2">
      <c r="A372" s="7" t="s">
        <v>21</v>
      </c>
      <c r="B372" s="6" t="s">
        <v>137</v>
      </c>
      <c r="C372" s="16"/>
      <c r="D372" s="16"/>
      <c r="E372" s="17">
        <f>SUM(E373:E378)</f>
        <v>551512.32599999988</v>
      </c>
    </row>
    <row r="373" spans="1:6" ht="11.25" customHeight="1" x14ac:dyDescent="0.2">
      <c r="A373" s="15" t="s">
        <v>23</v>
      </c>
      <c r="B373" s="9" t="s">
        <v>34</v>
      </c>
      <c r="C373" s="16">
        <v>1.07</v>
      </c>
      <c r="D373" s="16">
        <v>18781</v>
      </c>
      <c r="E373" s="19">
        <f>ROUND(C373*D373,2)*12</f>
        <v>241148.03999999998</v>
      </c>
      <c r="F373" s="20"/>
    </row>
    <row r="374" spans="1:6" ht="11.25" customHeight="1" x14ac:dyDescent="0.2">
      <c r="A374" s="8" t="s">
        <v>31</v>
      </c>
      <c r="B374" s="9" t="s">
        <v>36</v>
      </c>
      <c r="C374" s="16">
        <v>0.74</v>
      </c>
      <c r="D374" s="16">
        <v>18781</v>
      </c>
      <c r="E374" s="19">
        <f>ROUND(C374*D374,2)*12</f>
        <v>166775.28</v>
      </c>
    </row>
    <row r="375" spans="1:6" ht="11.25" customHeight="1" x14ac:dyDescent="0.2">
      <c r="A375" s="8" t="s">
        <v>121</v>
      </c>
      <c r="B375" s="9" t="s">
        <v>38</v>
      </c>
      <c r="C375" s="16">
        <v>30.2</v>
      </c>
      <c r="D375" s="16">
        <f>E373</f>
        <v>241148.03999999998</v>
      </c>
      <c r="E375" s="19">
        <f>ROUND(C375*D375/100,2)</f>
        <v>72826.710000000006</v>
      </c>
    </row>
    <row r="376" spans="1:6" ht="11.25" customHeight="1" x14ac:dyDescent="0.2">
      <c r="A376" s="8" t="s">
        <v>186</v>
      </c>
      <c r="B376" s="9" t="s">
        <v>40</v>
      </c>
      <c r="C376" s="16">
        <v>30.2</v>
      </c>
      <c r="D376" s="16">
        <f>E374</f>
        <v>166775.28</v>
      </c>
      <c r="E376" s="19">
        <f>ROUND(C376*D376/100,2)</f>
        <v>50366.13</v>
      </c>
    </row>
    <row r="377" spans="1:6" ht="11.25" customHeight="1" x14ac:dyDescent="0.2">
      <c r="A377" s="8" t="s">
        <v>187</v>
      </c>
      <c r="B377" s="9" t="s">
        <v>42</v>
      </c>
      <c r="C377" s="16"/>
      <c r="D377" s="16"/>
      <c r="E377" s="19">
        <f>E373*0.05</f>
        <v>12057.402</v>
      </c>
    </row>
    <row r="378" spans="1:6" ht="11.25" customHeight="1" x14ac:dyDescent="0.2">
      <c r="A378" s="8" t="s">
        <v>188</v>
      </c>
      <c r="B378" s="9" t="s">
        <v>44</v>
      </c>
      <c r="C378" s="16"/>
      <c r="D378" s="16"/>
      <c r="E378" s="19">
        <f>E374*0.05</f>
        <v>8338.764000000001</v>
      </c>
    </row>
    <row r="379" spans="1:6" ht="15.9" customHeight="1" x14ac:dyDescent="0.2">
      <c r="A379" s="7" t="s">
        <v>45</v>
      </c>
      <c r="B379" s="6" t="s">
        <v>138</v>
      </c>
      <c r="C379" s="16"/>
      <c r="D379" s="16"/>
      <c r="E379" s="17">
        <f>E380+E381+E382+E383</f>
        <v>484008.91</v>
      </c>
    </row>
    <row r="380" spans="1:6" ht="11.25" customHeight="1" x14ac:dyDescent="0.2">
      <c r="A380" s="8" t="s">
        <v>47</v>
      </c>
      <c r="B380" s="9" t="s">
        <v>48</v>
      </c>
      <c r="C380" s="16">
        <v>1.3</v>
      </c>
      <c r="D380" s="16">
        <v>18781</v>
      </c>
      <c r="E380" s="19">
        <f>ROUND(C380*D380,2)*12</f>
        <v>292983.59999999998</v>
      </c>
      <c r="F380" s="20"/>
    </row>
    <row r="381" spans="1:6" ht="11.25" customHeight="1" x14ac:dyDescent="0.2">
      <c r="A381" s="8" t="s">
        <v>49</v>
      </c>
      <c r="B381" s="9" t="s">
        <v>50</v>
      </c>
      <c r="C381" s="16">
        <v>30.2</v>
      </c>
      <c r="D381" s="16">
        <f>E380</f>
        <v>292983.59999999998</v>
      </c>
      <c r="E381" s="19">
        <f>ROUND(C381*D381/100,2)</f>
        <v>88481.05</v>
      </c>
    </row>
    <row r="382" spans="1:6" ht="11.25" customHeight="1" x14ac:dyDescent="0.2">
      <c r="A382" s="8" t="s">
        <v>51</v>
      </c>
      <c r="B382" s="9" t="s">
        <v>52</v>
      </c>
      <c r="C382" s="16"/>
      <c r="D382" s="16"/>
      <c r="E382" s="19">
        <f>E380*0.3</f>
        <v>87895.079999999987</v>
      </c>
    </row>
    <row r="383" spans="1:6" ht="11.25" customHeight="1" x14ac:dyDescent="0.2">
      <c r="A383" s="8" t="s">
        <v>53</v>
      </c>
      <c r="B383" s="9" t="s">
        <v>54</v>
      </c>
      <c r="C383" s="16"/>
      <c r="D383" s="16"/>
      <c r="E383" s="19">
        <f>E380*0.05</f>
        <v>14649.18</v>
      </c>
    </row>
    <row r="384" spans="1:6" ht="20.100000000000001" customHeight="1" x14ac:dyDescent="0.2">
      <c r="A384" s="5">
        <v>2</v>
      </c>
      <c r="B384" s="6" t="s">
        <v>57</v>
      </c>
      <c r="C384" s="16"/>
      <c r="D384" s="16"/>
      <c r="E384" s="17">
        <f>E385+E387+E388+E389+E390+E391+E386</f>
        <v>696457.81</v>
      </c>
    </row>
    <row r="385" spans="1:5" ht="11.25" customHeight="1" x14ac:dyDescent="0.2">
      <c r="A385" s="35" t="s">
        <v>58</v>
      </c>
      <c r="B385" s="9" t="s">
        <v>204</v>
      </c>
      <c r="C385" s="16">
        <v>468.35</v>
      </c>
      <c r="D385" s="16">
        <f>E385/C385</f>
        <v>177.97000106757767</v>
      </c>
      <c r="E385" s="19">
        <v>83352.25</v>
      </c>
    </row>
    <row r="386" spans="1:5" ht="11.25" customHeight="1" x14ac:dyDescent="0.2">
      <c r="A386" s="35" t="s">
        <v>60</v>
      </c>
      <c r="B386" s="9" t="s">
        <v>195</v>
      </c>
      <c r="C386" s="16">
        <v>468.35</v>
      </c>
      <c r="D386" s="16">
        <f>E386/C386</f>
        <v>219.63343653250774</v>
      </c>
      <c r="E386" s="19">
        <v>102865.32</v>
      </c>
    </row>
    <row r="387" spans="1:5" ht="11.25" customHeight="1" x14ac:dyDescent="0.2">
      <c r="A387" s="35" t="s">
        <v>62</v>
      </c>
      <c r="B387" s="9" t="s">
        <v>196</v>
      </c>
      <c r="C387" s="16">
        <v>148.58000000000001</v>
      </c>
      <c r="D387" s="16">
        <f>E387/C387</f>
        <v>848.40126531161661</v>
      </c>
      <c r="E387" s="19">
        <v>126055.46</v>
      </c>
    </row>
    <row r="388" spans="1:5" ht="11.25" customHeight="1" x14ac:dyDescent="0.2">
      <c r="A388" s="35" t="s">
        <v>64</v>
      </c>
      <c r="B388" s="9" t="s">
        <v>63</v>
      </c>
      <c r="C388" s="16">
        <f>E388/D388</f>
        <v>84037.99449035812</v>
      </c>
      <c r="D388" s="16">
        <v>3.63</v>
      </c>
      <c r="E388" s="19">
        <f>296398.41-5190.86+13850.37</f>
        <v>305057.91999999998</v>
      </c>
    </row>
    <row r="389" spans="1:5" ht="11.25" customHeight="1" x14ac:dyDescent="0.2">
      <c r="A389" s="35" t="s">
        <v>66</v>
      </c>
      <c r="B389" s="9" t="s">
        <v>65</v>
      </c>
      <c r="C389" s="16">
        <f>E389/D389</f>
        <v>881.5369255615916</v>
      </c>
      <c r="D389" s="16">
        <v>68.11</v>
      </c>
      <c r="E389" s="19">
        <v>60041.48</v>
      </c>
    </row>
    <row r="390" spans="1:5" ht="11.25" customHeight="1" x14ac:dyDescent="0.2">
      <c r="A390" s="35" t="s">
        <v>68</v>
      </c>
      <c r="B390" s="9" t="s">
        <v>69</v>
      </c>
      <c r="C390" s="16">
        <v>677.9</v>
      </c>
      <c r="D390" s="16">
        <f>E390/C390</f>
        <v>3.3499778728426022</v>
      </c>
      <c r="E390" s="19">
        <v>2270.9499999999998</v>
      </c>
    </row>
    <row r="391" spans="1:5" ht="11.25" customHeight="1" x14ac:dyDescent="0.2">
      <c r="A391" s="35" t="s">
        <v>70</v>
      </c>
      <c r="B391" s="9" t="s">
        <v>71</v>
      </c>
      <c r="C391" s="16">
        <v>89.42</v>
      </c>
      <c r="D391" s="16">
        <f>E391/C391</f>
        <v>188.03880563632296</v>
      </c>
      <c r="E391" s="19">
        <v>16814.43</v>
      </c>
    </row>
    <row r="392" spans="1:5" ht="20.100000000000001" customHeight="1" x14ac:dyDescent="0.2">
      <c r="A392" s="5">
        <v>3</v>
      </c>
      <c r="B392" s="6" t="s">
        <v>72</v>
      </c>
      <c r="C392" s="16"/>
      <c r="D392" s="16"/>
      <c r="E392" s="17">
        <f>E393+E394+E395+E396+E397+E398+E399+E400+E401+E403+E402</f>
        <v>525461.48976079957</v>
      </c>
    </row>
    <row r="393" spans="1:5" ht="11.25" customHeight="1" x14ac:dyDescent="0.2">
      <c r="A393" s="8" t="s">
        <v>73</v>
      </c>
      <c r="B393" s="9" t="s">
        <v>74</v>
      </c>
      <c r="C393" s="34">
        <v>4</v>
      </c>
      <c r="D393" s="16">
        <f>E393/C393/12</f>
        <v>4811.9639583333328</v>
      </c>
      <c r="E393" s="19">
        <v>230974.27</v>
      </c>
    </row>
    <row r="394" spans="1:5" ht="11.25" customHeight="1" x14ac:dyDescent="0.2">
      <c r="A394" s="8" t="s">
        <v>75</v>
      </c>
      <c r="B394" s="9" t="s">
        <v>76</v>
      </c>
      <c r="C394" s="34">
        <v>128</v>
      </c>
      <c r="D394" s="16">
        <f>E394/C394</f>
        <v>199.16023437499999</v>
      </c>
      <c r="E394" s="19">
        <v>25492.51</v>
      </c>
    </row>
    <row r="395" spans="1:5" ht="11.25" customHeight="1" x14ac:dyDescent="0.2">
      <c r="A395" s="8" t="s">
        <v>77</v>
      </c>
      <c r="B395" s="9" t="s">
        <v>78</v>
      </c>
      <c r="C395" s="34">
        <v>2</v>
      </c>
      <c r="D395" s="16">
        <f>E395/C395/12</f>
        <v>7402.6133333333337</v>
      </c>
      <c r="E395" s="19">
        <v>177662.72</v>
      </c>
    </row>
    <row r="396" spans="1:5" ht="11.25" customHeight="1" x14ac:dyDescent="0.2">
      <c r="A396" s="8" t="s">
        <v>79</v>
      </c>
      <c r="B396" s="9" t="s">
        <v>80</v>
      </c>
      <c r="C396" s="16">
        <v>6996.2</v>
      </c>
      <c r="D396" s="16">
        <f>E396/C396</f>
        <v>5.8992052828678423</v>
      </c>
      <c r="E396" s="19">
        <v>41272.019999999997</v>
      </c>
    </row>
    <row r="397" spans="1:5" ht="11.25" customHeight="1" x14ac:dyDescent="0.2">
      <c r="A397" s="8" t="s">
        <v>81</v>
      </c>
      <c r="B397" s="9" t="s">
        <v>82</v>
      </c>
      <c r="C397" s="34">
        <v>256</v>
      </c>
      <c r="D397" s="16">
        <f>E397/C397</f>
        <v>70.79296875</v>
      </c>
      <c r="E397" s="19">
        <v>18123</v>
      </c>
    </row>
    <row r="398" spans="1:5" ht="11.25" customHeight="1" x14ac:dyDescent="0.2">
      <c r="A398" s="8" t="s">
        <v>83</v>
      </c>
      <c r="B398" s="9" t="s">
        <v>194</v>
      </c>
      <c r="C398" s="34">
        <v>128</v>
      </c>
      <c r="D398" s="16">
        <f>E398/C398</f>
        <v>87.935312499999995</v>
      </c>
      <c r="E398" s="19">
        <v>11255.72</v>
      </c>
    </row>
    <row r="399" spans="1:5" ht="11.25" customHeight="1" x14ac:dyDescent="0.2">
      <c r="A399" s="8" t="s">
        <v>85</v>
      </c>
      <c r="B399" s="9" t="s">
        <v>86</v>
      </c>
      <c r="C399" s="16">
        <v>0.5</v>
      </c>
      <c r="D399" s="16">
        <f>E399/C399</f>
        <v>19206.259999999998</v>
      </c>
      <c r="E399" s="19">
        <v>9603.1299999999992</v>
      </c>
    </row>
    <row r="400" spans="1:5" ht="11.25" customHeight="1" x14ac:dyDescent="0.2">
      <c r="A400" s="8" t="s">
        <v>87</v>
      </c>
      <c r="B400" s="9" t="s">
        <v>88</v>
      </c>
      <c r="C400" s="16"/>
      <c r="D400" s="16"/>
      <c r="E400" s="19">
        <v>0</v>
      </c>
    </row>
    <row r="401" spans="1:6" ht="11.25" customHeight="1" x14ac:dyDescent="0.2">
      <c r="A401" s="8" t="s">
        <v>89</v>
      </c>
      <c r="B401" s="9" t="s">
        <v>90</v>
      </c>
      <c r="C401" s="16"/>
      <c r="D401" s="16"/>
      <c r="E401" s="19">
        <v>0</v>
      </c>
    </row>
    <row r="402" spans="1:6" ht="11.25" customHeight="1" x14ac:dyDescent="0.2">
      <c r="A402" s="8" t="s">
        <v>91</v>
      </c>
      <c r="B402" s="9" t="s">
        <v>202</v>
      </c>
      <c r="C402" s="34">
        <v>4</v>
      </c>
      <c r="D402" s="16">
        <f>E402/C402</f>
        <v>2769.5299401998955</v>
      </c>
      <c r="E402" s="19">
        <f>2826.16*4*1.2*0.81663515754</f>
        <v>11078.119760799582</v>
      </c>
    </row>
    <row r="403" spans="1:6" ht="11.25" customHeight="1" x14ac:dyDescent="0.2">
      <c r="A403" s="8" t="s">
        <v>203</v>
      </c>
      <c r="B403" s="9" t="s">
        <v>92</v>
      </c>
      <c r="C403" s="16"/>
      <c r="D403" s="16"/>
      <c r="E403" s="19">
        <v>0</v>
      </c>
    </row>
    <row r="404" spans="1:6" ht="15" customHeight="1" x14ac:dyDescent="0.2">
      <c r="A404" s="5">
        <v>4</v>
      </c>
      <c r="B404" s="6" t="s">
        <v>193</v>
      </c>
      <c r="C404" s="16"/>
      <c r="D404" s="16"/>
      <c r="E404" s="17">
        <f>F405/1.08*0.08</f>
        <v>180595.24266666663</v>
      </c>
    </row>
    <row r="405" spans="1:6" ht="18.75" customHeight="1" x14ac:dyDescent="0.2">
      <c r="A405" s="10"/>
      <c r="B405" s="11" t="s">
        <v>94</v>
      </c>
      <c r="C405" s="21"/>
      <c r="D405" s="21"/>
      <c r="E405" s="17">
        <f>E371+E384+E392+E404</f>
        <v>2438035.7784274658</v>
      </c>
      <c r="F405" s="25">
        <f>E358*29.04*12</f>
        <v>2438035.7759999996</v>
      </c>
    </row>
    <row r="406" spans="1:6" ht="15" customHeight="1" x14ac:dyDescent="0.25">
      <c r="A406" s="10"/>
      <c r="B406" s="11" t="s">
        <v>199</v>
      </c>
      <c r="C406" s="21"/>
      <c r="D406" s="21"/>
      <c r="E406" s="22">
        <v>29.04</v>
      </c>
    </row>
    <row r="407" spans="1:6" ht="10.95" customHeight="1" x14ac:dyDescent="0.2"/>
    <row r="408" spans="1:6" ht="15" customHeight="1" x14ac:dyDescent="0.25">
      <c r="B408" s="12" t="s">
        <v>96</v>
      </c>
    </row>
    <row r="409" spans="1:6" ht="12" customHeight="1" x14ac:dyDescent="0.2"/>
    <row r="410" spans="1:6" ht="13.2" customHeight="1" x14ac:dyDescent="0.25">
      <c r="B410" s="3" t="s">
        <v>97</v>
      </c>
    </row>
    <row r="411" spans="1:6" ht="7.95" customHeight="1" x14ac:dyDescent="0.2"/>
    <row r="412" spans="1:6" ht="12" customHeight="1" x14ac:dyDescent="0.25">
      <c r="B412" s="41" t="s">
        <v>100</v>
      </c>
      <c r="C412" s="41"/>
      <c r="D412" s="41"/>
      <c r="E412" s="41"/>
    </row>
    <row r="413" spans="1:6" ht="10.95" customHeight="1" x14ac:dyDescent="0.2"/>
    <row r="414" spans="1:6" ht="10.95" customHeight="1" x14ac:dyDescent="0.2"/>
    <row r="415" spans="1:6" ht="10.95" customHeight="1" x14ac:dyDescent="0.2"/>
    <row r="416" spans="1:6" ht="16.2" customHeight="1" x14ac:dyDescent="0.2">
      <c r="A416" s="39" t="s">
        <v>0</v>
      </c>
      <c r="B416" s="39"/>
      <c r="C416" s="39"/>
      <c r="D416" s="39"/>
      <c r="E416" s="39"/>
    </row>
    <row r="417" spans="1:5" ht="10.95" customHeight="1" x14ac:dyDescent="0.2">
      <c r="A417" s="40" t="s">
        <v>1</v>
      </c>
      <c r="B417" s="40"/>
      <c r="C417" s="40"/>
      <c r="D417" s="40"/>
      <c r="E417" s="40"/>
    </row>
    <row r="418" spans="1:5" ht="13.2" customHeight="1" x14ac:dyDescent="0.2">
      <c r="A418" s="40" t="s">
        <v>198</v>
      </c>
      <c r="B418" s="40"/>
      <c r="C418" s="40"/>
      <c r="D418" s="40"/>
      <c r="E418" s="40"/>
    </row>
    <row r="419" spans="1:5" ht="10.95" customHeight="1" x14ac:dyDescent="0.2"/>
    <row r="420" spans="1:5" ht="10.95" customHeight="1" x14ac:dyDescent="0.2">
      <c r="C420" s="42" t="s">
        <v>3</v>
      </c>
      <c r="D420" s="42"/>
      <c r="E420" s="42"/>
    </row>
    <row r="421" spans="1:5" ht="12" customHeight="1" x14ac:dyDescent="0.2">
      <c r="D421" s="26" t="s">
        <v>4</v>
      </c>
      <c r="E421" s="24">
        <v>25264.9</v>
      </c>
    </row>
    <row r="422" spans="1:5" ht="12" customHeight="1" x14ac:dyDescent="0.2">
      <c r="D422" s="26" t="s">
        <v>5</v>
      </c>
      <c r="E422" s="23">
        <v>713.4</v>
      </c>
    </row>
    <row r="423" spans="1:5" ht="12" customHeight="1" x14ac:dyDescent="0.2">
      <c r="D423" s="26" t="s">
        <v>6</v>
      </c>
      <c r="E423" s="30">
        <v>7</v>
      </c>
    </row>
    <row r="424" spans="1:5" ht="12" customHeight="1" x14ac:dyDescent="0.2">
      <c r="D424" s="26" t="s">
        <v>7</v>
      </c>
      <c r="E424" s="30">
        <v>17</v>
      </c>
    </row>
    <row r="425" spans="1:5" ht="12" customHeight="1" x14ac:dyDescent="0.2">
      <c r="D425" s="26" t="s">
        <v>8</v>
      </c>
      <c r="E425" s="30">
        <v>463</v>
      </c>
    </row>
    <row r="426" spans="1:5" ht="12" customHeight="1" x14ac:dyDescent="0.2">
      <c r="D426" s="26" t="s">
        <v>9</v>
      </c>
      <c r="E426" s="30">
        <v>1168</v>
      </c>
    </row>
    <row r="427" spans="1:5" ht="12" customHeight="1" x14ac:dyDescent="0.2">
      <c r="D427" s="26" t="s">
        <v>10</v>
      </c>
      <c r="E427" s="30">
        <v>14</v>
      </c>
    </row>
    <row r="428" spans="1:5" ht="12" customHeight="1" x14ac:dyDescent="0.2">
      <c r="D428" s="26" t="s">
        <v>11</v>
      </c>
      <c r="E428" s="30">
        <v>7</v>
      </c>
    </row>
    <row r="429" spans="1:5" ht="12" customHeight="1" x14ac:dyDescent="0.2">
      <c r="D429" s="26" t="s">
        <v>12</v>
      </c>
      <c r="E429" s="30">
        <v>0</v>
      </c>
    </row>
    <row r="430" spans="1:5" ht="12" customHeight="1" x14ac:dyDescent="0.2">
      <c r="D430" s="26" t="s">
        <v>13</v>
      </c>
      <c r="E430" s="30">
        <v>5078</v>
      </c>
    </row>
    <row r="431" spans="1:5" ht="12" customHeight="1" x14ac:dyDescent="0.25">
      <c r="A431" s="2" t="s">
        <v>14</v>
      </c>
      <c r="B431" s="3" t="s">
        <v>108</v>
      </c>
    </row>
    <row r="432" spans="1:5" ht="10.95" customHeight="1" x14ac:dyDescent="0.2"/>
    <row r="433" spans="1:6" ht="45" customHeight="1" x14ac:dyDescent="0.2">
      <c r="A433" s="4" t="s">
        <v>15</v>
      </c>
      <c r="B433" s="4" t="s">
        <v>131</v>
      </c>
      <c r="C433" s="27" t="s">
        <v>17</v>
      </c>
      <c r="D433" s="27" t="s">
        <v>103</v>
      </c>
      <c r="E433" s="27" t="s">
        <v>19</v>
      </c>
    </row>
    <row r="434" spans="1:6" ht="31.5" customHeight="1" x14ac:dyDescent="0.2">
      <c r="A434" s="5">
        <v>1</v>
      </c>
      <c r="B434" s="6" t="s">
        <v>190</v>
      </c>
      <c r="C434" s="16"/>
      <c r="D434" s="16"/>
      <c r="E434" s="17">
        <f>E435+E442</f>
        <v>3885354.6900000004</v>
      </c>
    </row>
    <row r="435" spans="1:6" ht="15.9" customHeight="1" x14ac:dyDescent="0.2">
      <c r="A435" s="7" t="s">
        <v>21</v>
      </c>
      <c r="B435" s="6" t="s">
        <v>137</v>
      </c>
      <c r="C435" s="16"/>
      <c r="D435" s="16"/>
      <c r="E435" s="17">
        <f>SUM(E436:E441)</f>
        <v>2170724.5100000002</v>
      </c>
    </row>
    <row r="436" spans="1:6" ht="11.25" customHeight="1" x14ac:dyDescent="0.2">
      <c r="A436" s="15" t="s">
        <v>23</v>
      </c>
      <c r="B436" s="9" t="s">
        <v>34</v>
      </c>
      <c r="C436" s="16">
        <v>4.1900000000000004</v>
      </c>
      <c r="D436" s="16">
        <v>18781</v>
      </c>
      <c r="E436" s="19">
        <f>ROUND(C436*D436,2)*12</f>
        <v>944308.67999999993</v>
      </c>
      <c r="F436" s="20"/>
    </row>
    <row r="437" spans="1:6" ht="11.25" customHeight="1" x14ac:dyDescent="0.2">
      <c r="A437" s="8" t="s">
        <v>31</v>
      </c>
      <c r="B437" s="9" t="s">
        <v>36</v>
      </c>
      <c r="C437" s="16">
        <v>2.68</v>
      </c>
      <c r="D437" s="16">
        <v>18781</v>
      </c>
      <c r="E437" s="19">
        <f>ROUND(C437*D437,2)*12</f>
        <v>603996.96</v>
      </c>
    </row>
    <row r="438" spans="1:6" ht="11.25" customHeight="1" x14ac:dyDescent="0.2">
      <c r="A438" s="8" t="s">
        <v>121</v>
      </c>
      <c r="B438" s="9" t="s">
        <v>38</v>
      </c>
      <c r="C438" s="16">
        <v>30.2</v>
      </c>
      <c r="D438" s="16">
        <f>E436</f>
        <v>944308.67999999993</v>
      </c>
      <c r="E438" s="19">
        <f>ROUND(C438*D438/100,2)</f>
        <v>285181.21999999997</v>
      </c>
    </row>
    <row r="439" spans="1:6" ht="11.25" customHeight="1" x14ac:dyDescent="0.2">
      <c r="A439" s="8" t="s">
        <v>186</v>
      </c>
      <c r="B439" s="9" t="s">
        <v>40</v>
      </c>
      <c r="C439" s="16">
        <v>30.2</v>
      </c>
      <c r="D439" s="16">
        <f>E437</f>
        <v>603996.96</v>
      </c>
      <c r="E439" s="19">
        <f>ROUND(C439*D439/100,2)</f>
        <v>182407.08</v>
      </c>
    </row>
    <row r="440" spans="1:6" ht="11.25" customHeight="1" x14ac:dyDescent="0.2">
      <c r="A440" s="8" t="s">
        <v>187</v>
      </c>
      <c r="B440" s="9" t="s">
        <v>42</v>
      </c>
      <c r="C440" s="16"/>
      <c r="D440" s="16"/>
      <c r="E440" s="19">
        <f>ROUND(E436*0.1,2)</f>
        <v>94430.87</v>
      </c>
    </row>
    <row r="441" spans="1:6" ht="11.25" customHeight="1" x14ac:dyDescent="0.2">
      <c r="A441" s="8" t="s">
        <v>188</v>
      </c>
      <c r="B441" s="9" t="s">
        <v>44</v>
      </c>
      <c r="C441" s="16"/>
      <c r="D441" s="16"/>
      <c r="E441" s="19">
        <f>ROUND(E437*0.1,2)</f>
        <v>60399.7</v>
      </c>
    </row>
    <row r="442" spans="1:6" ht="15.9" customHeight="1" x14ac:dyDescent="0.2">
      <c r="A442" s="7" t="s">
        <v>45</v>
      </c>
      <c r="B442" s="6" t="s">
        <v>138</v>
      </c>
      <c r="C442" s="16"/>
      <c r="D442" s="16"/>
      <c r="E442" s="17">
        <f>E443+E444+E445+E446</f>
        <v>1714630.18</v>
      </c>
    </row>
    <row r="443" spans="1:6" ht="11.25" customHeight="1" x14ac:dyDescent="0.2">
      <c r="A443" s="8" t="s">
        <v>47</v>
      </c>
      <c r="B443" s="9" t="s">
        <v>48</v>
      </c>
      <c r="C443" s="16">
        <v>4</v>
      </c>
      <c r="D443" s="16">
        <v>18781</v>
      </c>
      <c r="E443" s="19">
        <f>ROUND(C443*D443,2)*12</f>
        <v>901488</v>
      </c>
      <c r="F443" s="20"/>
    </row>
    <row r="444" spans="1:6" ht="11.25" customHeight="1" x14ac:dyDescent="0.2">
      <c r="A444" s="8" t="s">
        <v>49</v>
      </c>
      <c r="B444" s="9" t="s">
        <v>50</v>
      </c>
      <c r="C444" s="16">
        <v>30.2</v>
      </c>
      <c r="D444" s="16">
        <f>E443</f>
        <v>901488</v>
      </c>
      <c r="E444" s="19">
        <f>ROUND(C444*D444/100,2)</f>
        <v>272249.38</v>
      </c>
    </row>
    <row r="445" spans="1:6" ht="11.25" customHeight="1" x14ac:dyDescent="0.2">
      <c r="A445" s="8" t="s">
        <v>51</v>
      </c>
      <c r="B445" s="9" t="s">
        <v>52</v>
      </c>
      <c r="C445" s="16"/>
      <c r="D445" s="16"/>
      <c r="E445" s="19">
        <f>E443*0.5</f>
        <v>450744</v>
      </c>
    </row>
    <row r="446" spans="1:6" ht="11.25" customHeight="1" x14ac:dyDescent="0.2">
      <c r="A446" s="8" t="s">
        <v>53</v>
      </c>
      <c r="B446" s="9" t="s">
        <v>54</v>
      </c>
      <c r="C446" s="16"/>
      <c r="D446" s="16"/>
      <c r="E446" s="19">
        <f>E443*0.1</f>
        <v>90148.800000000003</v>
      </c>
    </row>
    <row r="447" spans="1:6" ht="20.100000000000001" customHeight="1" x14ac:dyDescent="0.2">
      <c r="A447" s="5">
        <v>2</v>
      </c>
      <c r="B447" s="6" t="s">
        <v>57</v>
      </c>
      <c r="C447" s="16"/>
      <c r="D447" s="16"/>
      <c r="E447" s="17">
        <f>E448+E450+E451+E452+E453+E454+E449</f>
        <v>2336638.31</v>
      </c>
    </row>
    <row r="448" spans="1:6" ht="11.25" customHeight="1" x14ac:dyDescent="0.2">
      <c r="A448" s="35" t="s">
        <v>58</v>
      </c>
      <c r="B448" s="9" t="s">
        <v>204</v>
      </c>
      <c r="C448" s="16">
        <v>1693.6</v>
      </c>
      <c r="D448" s="16">
        <f>E448/C448</f>
        <v>177.9699988190836</v>
      </c>
      <c r="E448" s="19">
        <v>301409.99</v>
      </c>
    </row>
    <row r="449" spans="1:5" ht="11.25" customHeight="1" x14ac:dyDescent="0.2">
      <c r="A449" s="35" t="s">
        <v>60</v>
      </c>
      <c r="B449" s="9" t="s">
        <v>195</v>
      </c>
      <c r="C449" s="16">
        <v>1693.6</v>
      </c>
      <c r="D449" s="16">
        <f>E449/C449</f>
        <v>219.63343174303259</v>
      </c>
      <c r="E449" s="19">
        <v>371971.18</v>
      </c>
    </row>
    <row r="450" spans="1:5" ht="11.25" customHeight="1" x14ac:dyDescent="0.2">
      <c r="A450" s="35" t="s">
        <v>62</v>
      </c>
      <c r="B450" s="9" t="s">
        <v>196</v>
      </c>
      <c r="C450" s="16">
        <v>537.28</v>
      </c>
      <c r="D450" s="16">
        <f>E450/C450</f>
        <v>848.40124329958314</v>
      </c>
      <c r="E450" s="19">
        <v>455829.02</v>
      </c>
    </row>
    <row r="451" spans="1:5" ht="11.25" customHeight="1" x14ac:dyDescent="0.2">
      <c r="A451" s="35" t="s">
        <v>64</v>
      </c>
      <c r="B451" s="9" t="s">
        <v>63</v>
      </c>
      <c r="C451" s="16">
        <f>E451/D451</f>
        <v>214223.9885583524</v>
      </c>
      <c r="D451" s="16">
        <v>4.37</v>
      </c>
      <c r="E451" s="19">
        <f>1005100-39436.76-17968.63-11535.78</f>
        <v>936158.83</v>
      </c>
    </row>
    <row r="452" spans="1:5" ht="11.25" customHeight="1" x14ac:dyDescent="0.2">
      <c r="A452" s="35" t="s">
        <v>66</v>
      </c>
      <c r="B452" s="9" t="s">
        <v>65</v>
      </c>
      <c r="C452" s="16">
        <f>E452/D452</f>
        <v>3008.8762296285422</v>
      </c>
      <c r="D452" s="16">
        <v>68.11</v>
      </c>
      <c r="E452" s="19">
        <v>204934.56</v>
      </c>
    </row>
    <row r="453" spans="1:5" ht="11.25" customHeight="1" x14ac:dyDescent="0.2">
      <c r="A453" s="35" t="s">
        <v>68</v>
      </c>
      <c r="B453" s="9" t="s">
        <v>69</v>
      </c>
      <c r="C453" s="16">
        <v>2234.1</v>
      </c>
      <c r="D453" s="16">
        <f>E453/C453</f>
        <v>3.3499977619623116</v>
      </c>
      <c r="E453" s="19">
        <v>7484.23</v>
      </c>
    </row>
    <row r="454" spans="1:5" ht="11.25" customHeight="1" x14ac:dyDescent="0.2">
      <c r="A454" s="35" t="s">
        <v>70</v>
      </c>
      <c r="B454" s="9" t="s">
        <v>71</v>
      </c>
      <c r="C454" s="16">
        <v>312.97000000000003</v>
      </c>
      <c r="D454" s="16">
        <f>E454/C454</f>
        <v>188.03878966035083</v>
      </c>
      <c r="E454" s="19">
        <v>58850.5</v>
      </c>
    </row>
    <row r="455" spans="1:5" ht="20.100000000000001" customHeight="1" x14ac:dyDescent="0.2">
      <c r="A455" s="5">
        <v>3</v>
      </c>
      <c r="B455" s="6" t="s">
        <v>72</v>
      </c>
      <c r="C455" s="16"/>
      <c r="D455" s="16"/>
      <c r="E455" s="17">
        <f>E456+E457+E458+E459+E460+E461+E462+E463+E464+E466+E465</f>
        <v>1781927.3214019986</v>
      </c>
    </row>
    <row r="456" spans="1:5" ht="11.25" customHeight="1" x14ac:dyDescent="0.2">
      <c r="A456" s="8" t="s">
        <v>73</v>
      </c>
      <c r="B456" s="9" t="s">
        <v>74</v>
      </c>
      <c r="C456" s="34">
        <v>14</v>
      </c>
      <c r="D456" s="16">
        <f>E456/C456/12</f>
        <v>4811.9639880952373</v>
      </c>
      <c r="E456" s="19">
        <v>808409.95</v>
      </c>
    </row>
    <row r="457" spans="1:5" ht="11.25" customHeight="1" x14ac:dyDescent="0.2">
      <c r="A457" s="8" t="s">
        <v>75</v>
      </c>
      <c r="B457" s="9" t="s">
        <v>76</v>
      </c>
      <c r="C457" s="34">
        <v>463</v>
      </c>
      <c r="D457" s="16">
        <f>E457/C457</f>
        <v>199.16023758099354</v>
      </c>
      <c r="E457" s="19">
        <v>92211.19</v>
      </c>
    </row>
    <row r="458" spans="1:5" ht="11.25" customHeight="1" x14ac:dyDescent="0.2">
      <c r="A458" s="8" t="s">
        <v>77</v>
      </c>
      <c r="B458" s="9" t="s">
        <v>78</v>
      </c>
      <c r="C458" s="34">
        <v>7</v>
      </c>
      <c r="D458" s="16">
        <f>E458/C458/12</f>
        <v>7402.6133333333337</v>
      </c>
      <c r="E458" s="19">
        <v>621819.52</v>
      </c>
    </row>
    <row r="459" spans="1:5" ht="11.25" customHeight="1" x14ac:dyDescent="0.2">
      <c r="A459" s="8" t="s">
        <v>79</v>
      </c>
      <c r="B459" s="9" t="s">
        <v>80</v>
      </c>
      <c r="C459" s="16">
        <v>25264.9</v>
      </c>
      <c r="D459" s="16">
        <f>E459/C459</f>
        <v>4.2672541747641981</v>
      </c>
      <c r="E459" s="19">
        <v>107811.75</v>
      </c>
    </row>
    <row r="460" spans="1:5" ht="11.25" customHeight="1" x14ac:dyDescent="0.2">
      <c r="A460" s="8" t="s">
        <v>81</v>
      </c>
      <c r="B460" s="9" t="s">
        <v>82</v>
      </c>
      <c r="C460" s="34">
        <v>926</v>
      </c>
      <c r="D460" s="16">
        <f>E460/C460</f>
        <v>70.608207343412531</v>
      </c>
      <c r="E460" s="19">
        <v>65383.199999999997</v>
      </c>
    </row>
    <row r="461" spans="1:5" ht="11.25" customHeight="1" x14ac:dyDescent="0.2">
      <c r="A461" s="8" t="s">
        <v>83</v>
      </c>
      <c r="B461" s="9" t="s">
        <v>194</v>
      </c>
      <c r="C461" s="34">
        <v>463</v>
      </c>
      <c r="D461" s="16">
        <f>E461/C461</f>
        <v>87.435615550755941</v>
      </c>
      <c r="E461" s="19">
        <v>40482.69</v>
      </c>
    </row>
    <row r="462" spans="1:5" ht="11.25" customHeight="1" x14ac:dyDescent="0.2">
      <c r="A462" s="8" t="s">
        <v>85</v>
      </c>
      <c r="B462" s="9" t="s">
        <v>86</v>
      </c>
      <c r="C462" s="16">
        <v>0.5</v>
      </c>
      <c r="D462" s="16">
        <f>E462/C462</f>
        <v>19206.259999999998</v>
      </c>
      <c r="E462" s="19">
        <v>9603.1299999999992</v>
      </c>
    </row>
    <row r="463" spans="1:5" ht="11.25" customHeight="1" x14ac:dyDescent="0.2">
      <c r="A463" s="8" t="s">
        <v>87</v>
      </c>
      <c r="B463" s="9" t="s">
        <v>88</v>
      </c>
      <c r="C463" s="16"/>
      <c r="D463" s="16"/>
      <c r="E463" s="19">
        <v>0</v>
      </c>
    </row>
    <row r="464" spans="1:5" ht="11.25" customHeight="1" x14ac:dyDescent="0.2">
      <c r="A464" s="8" t="s">
        <v>89</v>
      </c>
      <c r="B464" s="9" t="s">
        <v>90</v>
      </c>
      <c r="C464" s="16"/>
      <c r="D464" s="16"/>
      <c r="E464" s="19">
        <v>0</v>
      </c>
    </row>
    <row r="465" spans="1:6" ht="11.25" customHeight="1" x14ac:dyDescent="0.2">
      <c r="A465" s="8" t="s">
        <v>91</v>
      </c>
      <c r="B465" s="9" t="s">
        <v>202</v>
      </c>
      <c r="C465" s="34">
        <f>C456</f>
        <v>14</v>
      </c>
      <c r="D465" s="16">
        <f>E465/C465</f>
        <v>2586.1351001427824</v>
      </c>
      <c r="E465" s="19">
        <f>1773.04*4*1.2+2826.16*10*1.2*0.81663515754</f>
        <v>36205.891401998953</v>
      </c>
    </row>
    <row r="466" spans="1:6" ht="11.25" customHeight="1" x14ac:dyDescent="0.2">
      <c r="A466" s="8" t="s">
        <v>203</v>
      </c>
      <c r="B466" s="9" t="s">
        <v>92</v>
      </c>
      <c r="C466" s="16"/>
      <c r="D466" s="16"/>
      <c r="E466" s="19">
        <v>0</v>
      </c>
    </row>
    <row r="467" spans="1:6" ht="15" customHeight="1" x14ac:dyDescent="0.2">
      <c r="A467" s="5">
        <v>4</v>
      </c>
      <c r="B467" s="6" t="s">
        <v>193</v>
      </c>
      <c r="C467" s="16"/>
      <c r="D467" s="16"/>
      <c r="E467" s="17">
        <f>F468/1.1*0.1</f>
        <v>800392.03200000001</v>
      </c>
    </row>
    <row r="468" spans="1:6" ht="18.75" customHeight="1" x14ac:dyDescent="0.2">
      <c r="A468" s="10"/>
      <c r="B468" s="11" t="s">
        <v>94</v>
      </c>
      <c r="C468" s="21"/>
      <c r="D468" s="21"/>
      <c r="E468" s="17">
        <f>E434+E447+E455+E467</f>
        <v>8804312.3534019981</v>
      </c>
      <c r="F468" s="25">
        <f>E421*29.04*12</f>
        <v>8804312.352</v>
      </c>
    </row>
    <row r="469" spans="1:6" ht="15" customHeight="1" x14ac:dyDescent="0.25">
      <c r="A469" s="10"/>
      <c r="B469" s="11" t="s">
        <v>199</v>
      </c>
      <c r="C469" s="21"/>
      <c r="D469" s="21"/>
      <c r="E469" s="22">
        <v>29.04</v>
      </c>
    </row>
    <row r="470" spans="1:6" ht="10.95" customHeight="1" x14ac:dyDescent="0.2"/>
    <row r="471" spans="1:6" ht="10.95" customHeight="1" x14ac:dyDescent="0.2"/>
    <row r="472" spans="1:6" ht="10.95" customHeight="1" x14ac:dyDescent="0.2"/>
    <row r="473" spans="1:6" ht="15" customHeight="1" x14ac:dyDescent="0.25">
      <c r="B473" s="12" t="s">
        <v>96</v>
      </c>
    </row>
    <row r="474" spans="1:6" ht="12" customHeight="1" x14ac:dyDescent="0.2"/>
    <row r="475" spans="1:6" ht="13.2" customHeight="1" x14ac:dyDescent="0.25">
      <c r="B475" s="3" t="s">
        <v>97</v>
      </c>
    </row>
    <row r="476" spans="1:6" ht="7.95" customHeight="1" x14ac:dyDescent="0.2"/>
    <row r="477" spans="1:6" ht="12" customHeight="1" x14ac:dyDescent="0.25">
      <c r="B477" s="41" t="s">
        <v>100</v>
      </c>
      <c r="C477" s="41"/>
      <c r="D477" s="41"/>
      <c r="E477" s="41"/>
    </row>
    <row r="478" spans="1:6" ht="10.95" customHeight="1" x14ac:dyDescent="0.2"/>
    <row r="479" spans="1:6" ht="10.95" customHeight="1" x14ac:dyDescent="0.2"/>
    <row r="480" spans="1:6" ht="10.95" customHeight="1" x14ac:dyDescent="0.2"/>
    <row r="481" spans="1:5" ht="16.2" customHeight="1" x14ac:dyDescent="0.2">
      <c r="A481" s="39" t="s">
        <v>0</v>
      </c>
      <c r="B481" s="39"/>
      <c r="C481" s="39"/>
      <c r="D481" s="39"/>
      <c r="E481" s="39"/>
    </row>
    <row r="482" spans="1:5" ht="10.95" customHeight="1" x14ac:dyDescent="0.2">
      <c r="A482" s="40" t="s">
        <v>1</v>
      </c>
      <c r="B482" s="40"/>
      <c r="C482" s="40"/>
      <c r="D482" s="40"/>
      <c r="E482" s="40"/>
    </row>
    <row r="483" spans="1:5" ht="13.2" customHeight="1" x14ac:dyDescent="0.2">
      <c r="A483" s="40" t="s">
        <v>198</v>
      </c>
      <c r="B483" s="40"/>
      <c r="C483" s="40"/>
      <c r="D483" s="40"/>
      <c r="E483" s="40"/>
    </row>
    <row r="484" spans="1:5" ht="10.95" customHeight="1" x14ac:dyDescent="0.2"/>
    <row r="485" spans="1:5" ht="10.95" customHeight="1" x14ac:dyDescent="0.2">
      <c r="C485" s="42" t="s">
        <v>3</v>
      </c>
      <c r="D485" s="42"/>
      <c r="E485" s="42"/>
    </row>
    <row r="486" spans="1:5" ht="12" customHeight="1" x14ac:dyDescent="0.2">
      <c r="D486" s="26" t="s">
        <v>4</v>
      </c>
      <c r="E486" s="24">
        <v>11145.6</v>
      </c>
    </row>
    <row r="487" spans="1:5" ht="12" customHeight="1" x14ac:dyDescent="0.2">
      <c r="D487" s="26" t="s">
        <v>5</v>
      </c>
      <c r="E487" s="23">
        <v>1055.0999999999999</v>
      </c>
    </row>
    <row r="488" spans="1:5" ht="12" customHeight="1" x14ac:dyDescent="0.2">
      <c r="D488" s="26" t="s">
        <v>6</v>
      </c>
      <c r="E488" s="30">
        <v>3</v>
      </c>
    </row>
    <row r="489" spans="1:5" ht="12" customHeight="1" x14ac:dyDescent="0.2">
      <c r="D489" s="26" t="s">
        <v>7</v>
      </c>
      <c r="E489" s="30">
        <v>17</v>
      </c>
    </row>
    <row r="490" spans="1:5" ht="12" customHeight="1" x14ac:dyDescent="0.2">
      <c r="D490" s="26" t="s">
        <v>8</v>
      </c>
      <c r="E490" s="30">
        <v>203</v>
      </c>
    </row>
    <row r="491" spans="1:5" ht="12" customHeight="1" x14ac:dyDescent="0.2">
      <c r="D491" s="26" t="s">
        <v>9</v>
      </c>
      <c r="E491" s="30">
        <v>483</v>
      </c>
    </row>
    <row r="492" spans="1:5" ht="12" customHeight="1" x14ac:dyDescent="0.2">
      <c r="D492" s="26" t="s">
        <v>10</v>
      </c>
      <c r="E492" s="30">
        <v>6</v>
      </c>
    </row>
    <row r="493" spans="1:5" ht="12" customHeight="1" x14ac:dyDescent="0.2">
      <c r="D493" s="26" t="s">
        <v>11</v>
      </c>
      <c r="E493" s="30">
        <v>3</v>
      </c>
    </row>
    <row r="494" spans="1:5" ht="12" customHeight="1" x14ac:dyDescent="0.2">
      <c r="D494" s="26" t="s">
        <v>12</v>
      </c>
      <c r="E494" s="30">
        <v>0</v>
      </c>
    </row>
    <row r="495" spans="1:5" ht="12" customHeight="1" x14ac:dyDescent="0.2">
      <c r="D495" s="26" t="s">
        <v>13</v>
      </c>
      <c r="E495" s="30">
        <v>2012</v>
      </c>
    </row>
    <row r="496" spans="1:5" ht="12" customHeight="1" x14ac:dyDescent="0.25">
      <c r="A496" s="2" t="s">
        <v>14</v>
      </c>
      <c r="B496" s="3" t="s">
        <v>109</v>
      </c>
    </row>
    <row r="497" spans="1:6" ht="10.95" customHeight="1" x14ac:dyDescent="0.2"/>
    <row r="498" spans="1:6" ht="45" customHeight="1" x14ac:dyDescent="0.2">
      <c r="A498" s="4" t="s">
        <v>15</v>
      </c>
      <c r="B498" s="4" t="s">
        <v>131</v>
      </c>
      <c r="C498" s="27" t="s">
        <v>17</v>
      </c>
      <c r="D498" s="27" t="s">
        <v>103</v>
      </c>
      <c r="E498" s="27" t="s">
        <v>19</v>
      </c>
    </row>
    <row r="499" spans="1:6" ht="31.5" customHeight="1" x14ac:dyDescent="0.2">
      <c r="A499" s="5">
        <v>1</v>
      </c>
      <c r="B499" s="6" t="s">
        <v>190</v>
      </c>
      <c r="C499" s="16"/>
      <c r="D499" s="16"/>
      <c r="E499" s="17">
        <f>E500+E507</f>
        <v>1774804.5039999997</v>
      </c>
    </row>
    <row r="500" spans="1:6" ht="15.9" customHeight="1" x14ac:dyDescent="0.2">
      <c r="A500" s="7" t="s">
        <v>21</v>
      </c>
      <c r="B500" s="6" t="s">
        <v>137</v>
      </c>
      <c r="C500" s="16"/>
      <c r="D500" s="16"/>
      <c r="E500" s="17">
        <f>SUM(E501:E506)</f>
        <v>844027.15599999984</v>
      </c>
    </row>
    <row r="501" spans="1:6" ht="11.25" customHeight="1" x14ac:dyDescent="0.2">
      <c r="A501" s="15" t="s">
        <v>23</v>
      </c>
      <c r="B501" s="9" t="s">
        <v>34</v>
      </c>
      <c r="C501" s="16">
        <v>1.66</v>
      </c>
      <c r="D501" s="16">
        <v>18781</v>
      </c>
      <c r="E501" s="19">
        <f>ROUND(C501*D501,2)*12</f>
        <v>374117.52</v>
      </c>
      <c r="F501" s="20"/>
    </row>
    <row r="502" spans="1:6" ht="11.25" customHeight="1" x14ac:dyDescent="0.2">
      <c r="A502" s="8" t="s">
        <v>31</v>
      </c>
      <c r="B502" s="9" t="s">
        <v>36</v>
      </c>
      <c r="C502" s="16">
        <v>1.1100000000000001</v>
      </c>
      <c r="D502" s="16">
        <v>18781</v>
      </c>
      <c r="E502" s="19">
        <f>ROUND(C502*D502,2)*12</f>
        <v>250162.91999999998</v>
      </c>
    </row>
    <row r="503" spans="1:6" ht="11.25" customHeight="1" x14ac:dyDescent="0.2">
      <c r="A503" s="8" t="s">
        <v>121</v>
      </c>
      <c r="B503" s="9" t="s">
        <v>38</v>
      </c>
      <c r="C503" s="16">
        <v>30.2</v>
      </c>
      <c r="D503" s="16">
        <f>E501</f>
        <v>374117.52</v>
      </c>
      <c r="E503" s="19">
        <f>ROUND(C503*D503/100,2)</f>
        <v>112983.49</v>
      </c>
    </row>
    <row r="504" spans="1:6" ht="11.25" customHeight="1" x14ac:dyDescent="0.2">
      <c r="A504" s="8" t="s">
        <v>186</v>
      </c>
      <c r="B504" s="9" t="s">
        <v>40</v>
      </c>
      <c r="C504" s="16">
        <v>30.2</v>
      </c>
      <c r="D504" s="16">
        <f>E502</f>
        <v>250162.91999999998</v>
      </c>
      <c r="E504" s="19">
        <f>ROUND(C504*D504/100,2)</f>
        <v>75549.2</v>
      </c>
    </row>
    <row r="505" spans="1:6" ht="11.25" customHeight="1" x14ac:dyDescent="0.2">
      <c r="A505" s="8" t="s">
        <v>187</v>
      </c>
      <c r="B505" s="9" t="s">
        <v>42</v>
      </c>
      <c r="C505" s="16"/>
      <c r="D505" s="16"/>
      <c r="E505" s="19">
        <f>ROUND(E501*0.05,2)</f>
        <v>18705.88</v>
      </c>
    </row>
    <row r="506" spans="1:6" ht="11.25" customHeight="1" x14ac:dyDescent="0.2">
      <c r="A506" s="8" t="s">
        <v>188</v>
      </c>
      <c r="B506" s="9" t="s">
        <v>44</v>
      </c>
      <c r="C506" s="16"/>
      <c r="D506" s="16"/>
      <c r="E506" s="19">
        <f>E502*0.05</f>
        <v>12508.146000000001</v>
      </c>
    </row>
    <row r="507" spans="1:6" ht="15.9" customHeight="1" x14ac:dyDescent="0.2">
      <c r="A507" s="7" t="s">
        <v>45</v>
      </c>
      <c r="B507" s="6" t="s">
        <v>138</v>
      </c>
      <c r="C507" s="16"/>
      <c r="D507" s="16"/>
      <c r="E507" s="17">
        <f>E508+E509+E510+E511</f>
        <v>930777.34799999988</v>
      </c>
    </row>
    <row r="508" spans="1:6" ht="11.25" customHeight="1" x14ac:dyDescent="0.2">
      <c r="A508" s="8" t="s">
        <v>47</v>
      </c>
      <c r="B508" s="9" t="s">
        <v>48</v>
      </c>
      <c r="C508" s="16">
        <v>2.23</v>
      </c>
      <c r="D508" s="16">
        <v>18781</v>
      </c>
      <c r="E508" s="19">
        <f>ROUND(C508*D508,2)*12</f>
        <v>502579.55999999994</v>
      </c>
      <c r="F508" s="20"/>
    </row>
    <row r="509" spans="1:6" ht="11.25" customHeight="1" x14ac:dyDescent="0.2">
      <c r="A509" s="8" t="s">
        <v>49</v>
      </c>
      <c r="B509" s="9" t="s">
        <v>50</v>
      </c>
      <c r="C509" s="16">
        <v>30.2</v>
      </c>
      <c r="D509" s="16">
        <f>E508</f>
        <v>502579.55999999994</v>
      </c>
      <c r="E509" s="19">
        <f>ROUND(C509*D509/100,2)</f>
        <v>151779.03</v>
      </c>
    </row>
    <row r="510" spans="1:6" ht="11.25" customHeight="1" x14ac:dyDescent="0.2">
      <c r="A510" s="8" t="s">
        <v>51</v>
      </c>
      <c r="B510" s="9" t="s">
        <v>52</v>
      </c>
      <c r="C510" s="16"/>
      <c r="D510" s="16"/>
      <c r="E510" s="19">
        <f>E508*0.5</f>
        <v>251289.77999999997</v>
      </c>
    </row>
    <row r="511" spans="1:6" ht="11.25" customHeight="1" x14ac:dyDescent="0.2">
      <c r="A511" s="8" t="s">
        <v>53</v>
      </c>
      <c r="B511" s="9" t="s">
        <v>54</v>
      </c>
      <c r="C511" s="16"/>
      <c r="D511" s="16"/>
      <c r="E511" s="19">
        <f>E508*0.05</f>
        <v>25128.977999999999</v>
      </c>
    </row>
    <row r="512" spans="1:6" ht="20.100000000000001" customHeight="1" x14ac:dyDescent="0.2">
      <c r="A512" s="5">
        <v>2</v>
      </c>
      <c r="B512" s="6" t="s">
        <v>57</v>
      </c>
      <c r="C512" s="16"/>
      <c r="D512" s="16"/>
      <c r="E512" s="17">
        <f>E513+E515+E516+E517+E518+E519+E514</f>
        <v>979600.66</v>
      </c>
    </row>
    <row r="513" spans="1:5" ht="11.25" customHeight="1" x14ac:dyDescent="0.2">
      <c r="A513" s="35" t="s">
        <v>58</v>
      </c>
      <c r="B513" s="9" t="s">
        <v>204</v>
      </c>
      <c r="C513" s="16">
        <v>700.35</v>
      </c>
      <c r="D513" s="16">
        <f>E513/C513</f>
        <v>177.97000071392873</v>
      </c>
      <c r="E513" s="19">
        <v>124641.29</v>
      </c>
    </row>
    <row r="514" spans="1:5" ht="11.25" customHeight="1" x14ac:dyDescent="0.2">
      <c r="A514" s="35" t="s">
        <v>60</v>
      </c>
      <c r="B514" s="9" t="s">
        <v>195</v>
      </c>
      <c r="C514" s="16">
        <v>700.35</v>
      </c>
      <c r="D514" s="16">
        <f>E514/C514</f>
        <v>219.6334404226458</v>
      </c>
      <c r="E514" s="19">
        <v>153820.28</v>
      </c>
    </row>
    <row r="515" spans="1:5" ht="11.25" customHeight="1" x14ac:dyDescent="0.2">
      <c r="A515" s="35" t="s">
        <v>62</v>
      </c>
      <c r="B515" s="9" t="s">
        <v>196</v>
      </c>
      <c r="C515" s="16">
        <v>222.18</v>
      </c>
      <c r="D515" s="16">
        <f>E515/C515</f>
        <v>848.40125123773521</v>
      </c>
      <c r="E515" s="19">
        <v>188497.79</v>
      </c>
    </row>
    <row r="516" spans="1:5" ht="11.25" customHeight="1" x14ac:dyDescent="0.2">
      <c r="A516" s="35" t="s">
        <v>64</v>
      </c>
      <c r="B516" s="9" t="s">
        <v>63</v>
      </c>
      <c r="C516" s="16">
        <f>E516/D516</f>
        <v>91440.064073226531</v>
      </c>
      <c r="D516" s="16">
        <v>4.37</v>
      </c>
      <c r="E516" s="19">
        <f>393300-6043.5-8438.96+20775.54</f>
        <v>399593.07999999996</v>
      </c>
    </row>
    <row r="517" spans="1:5" ht="11.25" customHeight="1" x14ac:dyDescent="0.2">
      <c r="A517" s="35" t="s">
        <v>66</v>
      </c>
      <c r="B517" s="9" t="s">
        <v>65</v>
      </c>
      <c r="C517" s="16">
        <f>E517/D517</f>
        <v>1237.0991043899576</v>
      </c>
      <c r="D517" s="16">
        <v>68.11</v>
      </c>
      <c r="E517" s="19">
        <v>84258.82</v>
      </c>
    </row>
    <row r="518" spans="1:5" ht="11.25" customHeight="1" x14ac:dyDescent="0.2">
      <c r="A518" s="35" t="s">
        <v>68</v>
      </c>
      <c r="B518" s="9" t="s">
        <v>69</v>
      </c>
      <c r="C518" s="16">
        <v>1065</v>
      </c>
      <c r="D518" s="16">
        <f>E518/C518</f>
        <v>3.35</v>
      </c>
      <c r="E518" s="19">
        <v>3567.75</v>
      </c>
    </row>
    <row r="519" spans="1:5" ht="11.25" customHeight="1" x14ac:dyDescent="0.2">
      <c r="A519" s="35" t="s">
        <v>70</v>
      </c>
      <c r="B519" s="9" t="s">
        <v>71</v>
      </c>
      <c r="C519" s="16">
        <v>134.13</v>
      </c>
      <c r="D519" s="16">
        <f>E519/C519</f>
        <v>188.03884291359131</v>
      </c>
      <c r="E519" s="19">
        <v>25221.65</v>
      </c>
    </row>
    <row r="520" spans="1:5" ht="20.100000000000001" customHeight="1" x14ac:dyDescent="0.2">
      <c r="A520" s="5">
        <v>3</v>
      </c>
      <c r="B520" s="6" t="s">
        <v>72</v>
      </c>
      <c r="C520" s="16"/>
      <c r="D520" s="16"/>
      <c r="E520" s="17">
        <f>E521+E522+E523+E524+E525+E526+E527+E528+E529+E531+E530</f>
        <v>776520.9096411994</v>
      </c>
    </row>
    <row r="521" spans="1:5" ht="11.25" customHeight="1" x14ac:dyDescent="0.2">
      <c r="A521" s="8" t="s">
        <v>73</v>
      </c>
      <c r="B521" s="9" t="s">
        <v>74</v>
      </c>
      <c r="C521" s="34">
        <v>6</v>
      </c>
      <c r="D521" s="16">
        <f>E521/C521/12</f>
        <v>4811.9640277777771</v>
      </c>
      <c r="E521" s="19">
        <v>346461.41</v>
      </c>
    </row>
    <row r="522" spans="1:5" ht="11.25" customHeight="1" x14ac:dyDescent="0.2">
      <c r="A522" s="8" t="s">
        <v>75</v>
      </c>
      <c r="B522" s="9" t="s">
        <v>76</v>
      </c>
      <c r="C522" s="34">
        <v>203</v>
      </c>
      <c r="D522" s="16">
        <f t="shared" ref="D522:D527" si="0">E522/C522</f>
        <v>199.16024630541872</v>
      </c>
      <c r="E522" s="19">
        <v>40429.53</v>
      </c>
    </row>
    <row r="523" spans="1:5" ht="11.25" customHeight="1" x14ac:dyDescent="0.2">
      <c r="A523" s="8" t="s">
        <v>77</v>
      </c>
      <c r="B523" s="9" t="s">
        <v>78</v>
      </c>
      <c r="C523" s="34">
        <v>3</v>
      </c>
      <c r="D523" s="16">
        <f>E523/C523/12</f>
        <v>7402.6133333333337</v>
      </c>
      <c r="E523" s="19">
        <v>266494.08000000002</v>
      </c>
    </row>
    <row r="524" spans="1:5" ht="11.25" customHeight="1" x14ac:dyDescent="0.2">
      <c r="A524" s="8" t="s">
        <v>79</v>
      </c>
      <c r="B524" s="9" t="s">
        <v>80</v>
      </c>
      <c r="C524" s="16">
        <v>11145.6</v>
      </c>
      <c r="D524" s="16">
        <f t="shared" si="0"/>
        <v>4.5429362259546364</v>
      </c>
      <c r="E524" s="19">
        <v>50633.75</v>
      </c>
    </row>
    <row r="525" spans="1:5" ht="11.25" customHeight="1" x14ac:dyDescent="0.2">
      <c r="A525" s="8" t="s">
        <v>81</v>
      </c>
      <c r="B525" s="9" t="s">
        <v>82</v>
      </c>
      <c r="C525" s="34">
        <v>406</v>
      </c>
      <c r="D525" s="16">
        <f t="shared" si="0"/>
        <v>70.4839408866995</v>
      </c>
      <c r="E525" s="19">
        <v>28616.48</v>
      </c>
    </row>
    <row r="526" spans="1:5" ht="11.25" customHeight="1" x14ac:dyDescent="0.2">
      <c r="A526" s="8" t="s">
        <v>83</v>
      </c>
      <c r="B526" s="9" t="s">
        <v>194</v>
      </c>
      <c r="C526" s="34">
        <v>203</v>
      </c>
      <c r="D526" s="16">
        <f t="shared" si="0"/>
        <v>87.021428571428558</v>
      </c>
      <c r="E526" s="19">
        <v>17665.349999999999</v>
      </c>
    </row>
    <row r="527" spans="1:5" ht="11.25" customHeight="1" x14ac:dyDescent="0.2">
      <c r="A527" s="8" t="s">
        <v>85</v>
      </c>
      <c r="B527" s="9" t="s">
        <v>86</v>
      </c>
      <c r="C527" s="16">
        <v>0.5</v>
      </c>
      <c r="D527" s="16">
        <f t="shared" si="0"/>
        <v>19206.259999999998</v>
      </c>
      <c r="E527" s="19">
        <v>9603.1299999999992</v>
      </c>
    </row>
    <row r="528" spans="1:5" ht="11.25" customHeight="1" x14ac:dyDescent="0.2">
      <c r="A528" s="8" t="s">
        <v>87</v>
      </c>
      <c r="B528" s="9" t="s">
        <v>88</v>
      </c>
      <c r="C528" s="16"/>
      <c r="D528" s="16"/>
      <c r="E528" s="19">
        <v>0</v>
      </c>
    </row>
    <row r="529" spans="1:6" ht="11.25" customHeight="1" x14ac:dyDescent="0.2">
      <c r="A529" s="8" t="s">
        <v>89</v>
      </c>
      <c r="B529" s="9" t="s">
        <v>90</v>
      </c>
      <c r="C529" s="16"/>
      <c r="D529" s="16"/>
      <c r="E529" s="19">
        <v>0</v>
      </c>
    </row>
    <row r="530" spans="1:6" ht="11.25" customHeight="1" x14ac:dyDescent="0.2">
      <c r="A530" s="8" t="s">
        <v>91</v>
      </c>
      <c r="B530" s="9" t="s">
        <v>202</v>
      </c>
      <c r="C530" s="34">
        <v>6</v>
      </c>
      <c r="D530" s="16">
        <f>E530/C530</f>
        <v>2769.5299401998959</v>
      </c>
      <c r="E530" s="19">
        <f>2826.16*6*1.2*0.81663515754</f>
        <v>16617.179641199375</v>
      </c>
    </row>
    <row r="531" spans="1:6" ht="11.25" customHeight="1" x14ac:dyDescent="0.2">
      <c r="A531" s="8" t="s">
        <v>203</v>
      </c>
      <c r="B531" s="9" t="s">
        <v>92</v>
      </c>
      <c r="C531" s="16"/>
      <c r="D531" s="16"/>
      <c r="E531" s="19">
        <v>0</v>
      </c>
    </row>
    <row r="532" spans="1:6" ht="15" customHeight="1" x14ac:dyDescent="0.2">
      <c r="A532" s="5">
        <v>4</v>
      </c>
      <c r="B532" s="6" t="s">
        <v>193</v>
      </c>
      <c r="C532" s="16"/>
      <c r="D532" s="16"/>
      <c r="E532" s="17">
        <f>ROUND(F533/1.1*0.1,2)</f>
        <v>353092.61</v>
      </c>
    </row>
    <row r="533" spans="1:6" ht="18.75" customHeight="1" x14ac:dyDescent="0.2">
      <c r="A533" s="10"/>
      <c r="B533" s="11" t="s">
        <v>94</v>
      </c>
      <c r="C533" s="21"/>
      <c r="D533" s="21"/>
      <c r="E533" s="17">
        <f>E499+E512+E520+E532</f>
        <v>3884018.683641199</v>
      </c>
      <c r="F533" s="25">
        <f>E486*29.04*12</f>
        <v>3884018.6880000001</v>
      </c>
    </row>
    <row r="534" spans="1:6" ht="15" customHeight="1" x14ac:dyDescent="0.25">
      <c r="A534" s="10"/>
      <c r="B534" s="11" t="s">
        <v>199</v>
      </c>
      <c r="C534" s="21"/>
      <c r="D534" s="21"/>
      <c r="E534" s="22">
        <v>29.04</v>
      </c>
    </row>
    <row r="535" spans="1:6" ht="10.95" customHeight="1" x14ac:dyDescent="0.2"/>
    <row r="536" spans="1:6" ht="10.95" customHeight="1" x14ac:dyDescent="0.2"/>
    <row r="537" spans="1:6" ht="10.95" customHeight="1" x14ac:dyDescent="0.2"/>
    <row r="538" spans="1:6" ht="15" customHeight="1" x14ac:dyDescent="0.25">
      <c r="B538" s="12" t="s">
        <v>96</v>
      </c>
    </row>
    <row r="539" spans="1:6" ht="12" customHeight="1" x14ac:dyDescent="0.2"/>
    <row r="540" spans="1:6" ht="13.2" customHeight="1" x14ac:dyDescent="0.25">
      <c r="B540" s="3" t="s">
        <v>97</v>
      </c>
    </row>
    <row r="541" spans="1:6" ht="7.95" customHeight="1" x14ac:dyDescent="0.2"/>
    <row r="542" spans="1:6" ht="12" customHeight="1" x14ac:dyDescent="0.25">
      <c r="B542" s="41" t="s">
        <v>100</v>
      </c>
      <c r="C542" s="41"/>
      <c r="D542" s="41"/>
      <c r="E542" s="41"/>
    </row>
    <row r="543" spans="1:6" ht="10.95" customHeight="1" x14ac:dyDescent="0.2"/>
    <row r="544" spans="1:6" ht="10.95" customHeight="1" x14ac:dyDescent="0.2"/>
    <row r="545" spans="1:5" ht="10.95" customHeight="1" x14ac:dyDescent="0.2"/>
    <row r="546" spans="1:5" ht="16.2" customHeight="1" x14ac:dyDescent="0.2">
      <c r="A546" s="39" t="s">
        <v>0</v>
      </c>
      <c r="B546" s="39"/>
      <c r="C546" s="39"/>
      <c r="D546" s="39"/>
      <c r="E546" s="39"/>
    </row>
    <row r="547" spans="1:5" ht="10.95" customHeight="1" x14ac:dyDescent="0.2">
      <c r="A547" s="40" t="s">
        <v>1</v>
      </c>
      <c r="B547" s="40"/>
      <c r="C547" s="40"/>
      <c r="D547" s="40"/>
      <c r="E547" s="40"/>
    </row>
    <row r="548" spans="1:5" ht="13.2" customHeight="1" x14ac:dyDescent="0.2">
      <c r="A548" s="40" t="s">
        <v>198</v>
      </c>
      <c r="B548" s="40"/>
      <c r="C548" s="40"/>
      <c r="D548" s="40"/>
      <c r="E548" s="40"/>
    </row>
    <row r="549" spans="1:5" ht="10.95" customHeight="1" x14ac:dyDescent="0.2"/>
    <row r="550" spans="1:5" ht="10.95" customHeight="1" x14ac:dyDescent="0.2">
      <c r="C550" s="42" t="s">
        <v>3</v>
      </c>
      <c r="D550" s="42"/>
      <c r="E550" s="42"/>
    </row>
    <row r="551" spans="1:5" ht="12" customHeight="1" x14ac:dyDescent="0.2">
      <c r="D551" s="26" t="s">
        <v>4</v>
      </c>
      <c r="E551" s="24">
        <v>20993</v>
      </c>
    </row>
    <row r="552" spans="1:5" ht="12" customHeight="1" x14ac:dyDescent="0.2">
      <c r="D552" s="26" t="s">
        <v>5</v>
      </c>
      <c r="E552" s="23">
        <v>1515.8</v>
      </c>
    </row>
    <row r="553" spans="1:5" ht="12" customHeight="1" x14ac:dyDescent="0.2">
      <c r="D553" s="26" t="s">
        <v>6</v>
      </c>
      <c r="E553" s="30">
        <v>6</v>
      </c>
    </row>
    <row r="554" spans="1:5" ht="12" customHeight="1" x14ac:dyDescent="0.2">
      <c r="D554" s="26" t="s">
        <v>7</v>
      </c>
      <c r="E554" s="30">
        <v>17</v>
      </c>
    </row>
    <row r="555" spans="1:5" ht="12" customHeight="1" x14ac:dyDescent="0.2">
      <c r="D555" s="26" t="s">
        <v>8</v>
      </c>
      <c r="E555" s="30">
        <v>384</v>
      </c>
    </row>
    <row r="556" spans="1:5" ht="12" customHeight="1" x14ac:dyDescent="0.2">
      <c r="D556" s="26" t="s">
        <v>9</v>
      </c>
      <c r="E556" s="30">
        <v>987</v>
      </c>
    </row>
    <row r="557" spans="1:5" ht="12" customHeight="1" x14ac:dyDescent="0.2">
      <c r="D557" s="26" t="s">
        <v>10</v>
      </c>
      <c r="E557" s="30">
        <v>12</v>
      </c>
    </row>
    <row r="558" spans="1:5" ht="12" customHeight="1" x14ac:dyDescent="0.2">
      <c r="D558" s="26" t="s">
        <v>11</v>
      </c>
      <c r="E558" s="30">
        <v>6</v>
      </c>
    </row>
    <row r="559" spans="1:5" ht="12" customHeight="1" x14ac:dyDescent="0.2">
      <c r="D559" s="26" t="s">
        <v>12</v>
      </c>
      <c r="E559" s="30">
        <v>0</v>
      </c>
    </row>
    <row r="560" spans="1:5" ht="12" customHeight="1" x14ac:dyDescent="0.2">
      <c r="D560" s="26" t="s">
        <v>13</v>
      </c>
      <c r="E560" s="30">
        <v>3887</v>
      </c>
    </row>
    <row r="561" spans="1:6" ht="12" customHeight="1" x14ac:dyDescent="0.25">
      <c r="A561" s="2" t="s">
        <v>14</v>
      </c>
      <c r="B561" s="3" t="s">
        <v>110</v>
      </c>
      <c r="E561" s="33"/>
    </row>
    <row r="562" spans="1:6" ht="10.95" customHeight="1" x14ac:dyDescent="0.2"/>
    <row r="563" spans="1:6" ht="45" customHeight="1" x14ac:dyDescent="0.2">
      <c r="A563" s="4" t="s">
        <v>15</v>
      </c>
      <c r="B563" s="4" t="s">
        <v>131</v>
      </c>
      <c r="C563" s="27" t="s">
        <v>17</v>
      </c>
      <c r="D563" s="27" t="s">
        <v>103</v>
      </c>
      <c r="E563" s="27" t="s">
        <v>19</v>
      </c>
    </row>
    <row r="564" spans="1:6" ht="31.5" customHeight="1" x14ac:dyDescent="0.2">
      <c r="A564" s="5">
        <v>1</v>
      </c>
      <c r="B564" s="6" t="s">
        <v>190</v>
      </c>
      <c r="C564" s="16"/>
      <c r="D564" s="16"/>
      <c r="E564" s="17">
        <f>E565+E572</f>
        <v>3624423.4920000001</v>
      </c>
    </row>
    <row r="565" spans="1:6" ht="15.9" customHeight="1" x14ac:dyDescent="0.2">
      <c r="A565" s="7" t="s">
        <v>21</v>
      </c>
      <c r="B565" s="6" t="s">
        <v>137</v>
      </c>
      <c r="C565" s="16"/>
      <c r="D565" s="16"/>
      <c r="E565" s="17">
        <f>SUM(E566:E571)</f>
        <v>1669772.1320000002</v>
      </c>
    </row>
    <row r="566" spans="1:6" ht="11.25" customHeight="1" x14ac:dyDescent="0.2">
      <c r="A566" s="15" t="s">
        <v>23</v>
      </c>
      <c r="B566" s="9" t="s">
        <v>34</v>
      </c>
      <c r="C566" s="16">
        <v>3.21</v>
      </c>
      <c r="D566" s="16">
        <v>18781</v>
      </c>
      <c r="E566" s="19">
        <f>ROUND(C566*D566,2)*12</f>
        <v>723444.12</v>
      </c>
      <c r="F566" s="20"/>
    </row>
    <row r="567" spans="1:6" ht="11.25" customHeight="1" x14ac:dyDescent="0.2">
      <c r="A567" s="8" t="s">
        <v>31</v>
      </c>
      <c r="B567" s="9" t="s">
        <v>36</v>
      </c>
      <c r="C567" s="16">
        <v>2.27</v>
      </c>
      <c r="D567" s="16">
        <v>18781</v>
      </c>
      <c r="E567" s="19">
        <f>ROUND(C567*D567,2)*12</f>
        <v>511594.44000000006</v>
      </c>
    </row>
    <row r="568" spans="1:6" ht="11.25" customHeight="1" x14ac:dyDescent="0.2">
      <c r="A568" s="8" t="s">
        <v>121</v>
      </c>
      <c r="B568" s="9" t="s">
        <v>38</v>
      </c>
      <c r="C568" s="16">
        <v>30.2</v>
      </c>
      <c r="D568" s="16">
        <f>E566</f>
        <v>723444.12</v>
      </c>
      <c r="E568" s="19">
        <f>ROUND(C568*D568/100,2)</f>
        <v>218480.12</v>
      </c>
    </row>
    <row r="569" spans="1:6" ht="11.25" customHeight="1" x14ac:dyDescent="0.2">
      <c r="A569" s="8" t="s">
        <v>186</v>
      </c>
      <c r="B569" s="9" t="s">
        <v>40</v>
      </c>
      <c r="C569" s="16">
        <v>30.2</v>
      </c>
      <c r="D569" s="16">
        <f>E567</f>
        <v>511594.44000000006</v>
      </c>
      <c r="E569" s="19">
        <f>ROUND(C569*D569/100,2)</f>
        <v>154501.51999999999</v>
      </c>
    </row>
    <row r="570" spans="1:6" ht="11.25" customHeight="1" x14ac:dyDescent="0.2">
      <c r="A570" s="8" t="s">
        <v>187</v>
      </c>
      <c r="B570" s="9" t="s">
        <v>42</v>
      </c>
      <c r="C570" s="16"/>
      <c r="D570" s="16"/>
      <c r="E570" s="19">
        <f>ROUND(E566*0.05,2)</f>
        <v>36172.21</v>
      </c>
    </row>
    <row r="571" spans="1:6" ht="11.25" customHeight="1" x14ac:dyDescent="0.2">
      <c r="A571" s="8" t="s">
        <v>188</v>
      </c>
      <c r="B571" s="9" t="s">
        <v>44</v>
      </c>
      <c r="C571" s="16"/>
      <c r="D571" s="16"/>
      <c r="E571" s="19">
        <f>E567*0.05</f>
        <v>25579.722000000005</v>
      </c>
    </row>
    <row r="572" spans="1:6" ht="15.9" customHeight="1" x14ac:dyDescent="0.2">
      <c r="A572" s="7" t="s">
        <v>45</v>
      </c>
      <c r="B572" s="6" t="s">
        <v>138</v>
      </c>
      <c r="C572" s="16"/>
      <c r="D572" s="16"/>
      <c r="E572" s="17">
        <f>E573+E574+E575+E576</f>
        <v>1954651.3599999999</v>
      </c>
    </row>
    <row r="573" spans="1:6" ht="11.25" customHeight="1" x14ac:dyDescent="0.2">
      <c r="A573" s="8" t="s">
        <v>47</v>
      </c>
      <c r="B573" s="9" t="s">
        <v>48</v>
      </c>
      <c r="C573" s="16">
        <v>5.25</v>
      </c>
      <c r="D573" s="16">
        <v>18781</v>
      </c>
      <c r="E573" s="19">
        <f>ROUND(C573*D573,2)*12</f>
        <v>1183203</v>
      </c>
      <c r="F573" s="20"/>
    </row>
    <row r="574" spans="1:6" ht="11.25" customHeight="1" x14ac:dyDescent="0.2">
      <c r="A574" s="8" t="s">
        <v>49</v>
      </c>
      <c r="B574" s="9" t="s">
        <v>50</v>
      </c>
      <c r="C574" s="16">
        <v>30.2</v>
      </c>
      <c r="D574" s="16">
        <f>E573</f>
        <v>1183203</v>
      </c>
      <c r="E574" s="19">
        <f>ROUND(C574*D574/100,2)</f>
        <v>357327.31</v>
      </c>
    </row>
    <row r="575" spans="1:6" ht="11.25" customHeight="1" x14ac:dyDescent="0.2">
      <c r="A575" s="8" t="s">
        <v>51</v>
      </c>
      <c r="B575" s="9" t="s">
        <v>52</v>
      </c>
      <c r="C575" s="16"/>
      <c r="D575" s="16"/>
      <c r="E575" s="19">
        <f>E573*0.3</f>
        <v>354960.89999999997</v>
      </c>
    </row>
    <row r="576" spans="1:6" ht="11.25" customHeight="1" x14ac:dyDescent="0.2">
      <c r="A576" s="8" t="s">
        <v>53</v>
      </c>
      <c r="B576" s="9" t="s">
        <v>54</v>
      </c>
      <c r="C576" s="16"/>
      <c r="D576" s="16"/>
      <c r="E576" s="19">
        <f>E573*0.05</f>
        <v>59160.15</v>
      </c>
    </row>
    <row r="577" spans="1:5" ht="20.100000000000001" customHeight="1" x14ac:dyDescent="0.2">
      <c r="A577" s="5">
        <v>2</v>
      </c>
      <c r="B577" s="6" t="s">
        <v>57</v>
      </c>
      <c r="C577" s="16"/>
      <c r="D577" s="16"/>
      <c r="E577" s="17">
        <f>E578+E580+E581+E582+E583+E584+E579</f>
        <v>1584677.31</v>
      </c>
    </row>
    <row r="578" spans="1:5" ht="11.25" customHeight="1" x14ac:dyDescent="0.2">
      <c r="A578" s="35" t="s">
        <v>58</v>
      </c>
      <c r="B578" s="9" t="s">
        <v>204</v>
      </c>
      <c r="C578" s="16">
        <v>1431.15</v>
      </c>
      <c r="D578" s="16">
        <f>E578/C578</f>
        <v>177.97000314432447</v>
      </c>
      <c r="E578" s="19">
        <v>254701.77</v>
      </c>
    </row>
    <row r="579" spans="1:5" ht="11.25" customHeight="1" x14ac:dyDescent="0.2">
      <c r="A579" s="35" t="s">
        <v>60</v>
      </c>
      <c r="B579" s="9" t="s">
        <v>195</v>
      </c>
      <c r="C579" s="16">
        <v>1431.15</v>
      </c>
      <c r="D579" s="16">
        <f>E579/C579</f>
        <v>219.63343465045591</v>
      </c>
      <c r="E579" s="19">
        <v>314328.39</v>
      </c>
    </row>
    <row r="580" spans="1:5" ht="11.25" customHeight="1" x14ac:dyDescent="0.2">
      <c r="A580" s="35" t="s">
        <v>62</v>
      </c>
      <c r="B580" s="9" t="s">
        <v>196</v>
      </c>
      <c r="C580" s="16">
        <v>454.02</v>
      </c>
      <c r="D580" s="16">
        <f>E580/C580</f>
        <v>848.40123783093259</v>
      </c>
      <c r="E580" s="19">
        <v>385191.13</v>
      </c>
    </row>
    <row r="581" spans="1:5" ht="11.25" customHeight="1" x14ac:dyDescent="0.2">
      <c r="A581" s="35" t="s">
        <v>64</v>
      </c>
      <c r="B581" s="9" t="s">
        <v>63</v>
      </c>
      <c r="C581" s="16">
        <f>E581/D581</f>
        <v>94742.494279176186</v>
      </c>
      <c r="D581" s="16">
        <v>4.37</v>
      </c>
      <c r="E581" s="19">
        <f>415150-9168.09+8042.79</f>
        <v>414024.69999999995</v>
      </c>
    </row>
    <row r="582" spans="1:5" ht="11.25" customHeight="1" x14ac:dyDescent="0.2">
      <c r="A582" s="35" t="s">
        <v>66</v>
      </c>
      <c r="B582" s="9" t="s">
        <v>65</v>
      </c>
      <c r="C582" s="16">
        <f>E582/D582</f>
        <v>2343.7787402730874</v>
      </c>
      <c r="D582" s="16">
        <v>68.11</v>
      </c>
      <c r="E582" s="19">
        <f>175203.62-15568.85</f>
        <v>159634.76999999999</v>
      </c>
    </row>
    <row r="583" spans="1:5" ht="11.25" customHeight="1" x14ac:dyDescent="0.2">
      <c r="A583" s="35" t="s">
        <v>68</v>
      </c>
      <c r="B583" s="9" t="s">
        <v>69</v>
      </c>
      <c r="C583" s="16">
        <v>1896.5</v>
      </c>
      <c r="D583" s="16">
        <f>E583/C583</f>
        <v>3.3499973635644609</v>
      </c>
      <c r="E583" s="19">
        <v>6353.27</v>
      </c>
    </row>
    <row r="584" spans="1:5" ht="11.25" customHeight="1" x14ac:dyDescent="0.2">
      <c r="A584" s="35" t="s">
        <v>70</v>
      </c>
      <c r="B584" s="9" t="s">
        <v>71</v>
      </c>
      <c r="C584" s="16">
        <v>268.26</v>
      </c>
      <c r="D584" s="16">
        <f>E584/C584</f>
        <v>188.03876835905464</v>
      </c>
      <c r="E584" s="19">
        <v>50443.28</v>
      </c>
    </row>
    <row r="585" spans="1:5" ht="20.100000000000001" customHeight="1" x14ac:dyDescent="0.2">
      <c r="A585" s="5">
        <v>3</v>
      </c>
      <c r="B585" s="6" t="s">
        <v>72</v>
      </c>
      <c r="C585" s="16"/>
      <c r="D585" s="16"/>
      <c r="E585" s="17">
        <f>E586+E587+E588+E589+E590+E591+E592+E593+E594+E596+E595</f>
        <v>1441481.5992823991</v>
      </c>
    </row>
    <row r="586" spans="1:5" ht="11.25" customHeight="1" x14ac:dyDescent="0.2">
      <c r="A586" s="8" t="s">
        <v>73</v>
      </c>
      <c r="B586" s="9" t="s">
        <v>74</v>
      </c>
      <c r="C586" s="34">
        <v>12</v>
      </c>
      <c r="D586" s="16">
        <f>E586/C586/12</f>
        <v>4245.8999999999996</v>
      </c>
      <c r="E586" s="19">
        <v>611409.6</v>
      </c>
    </row>
    <row r="587" spans="1:5" ht="11.25" customHeight="1" x14ac:dyDescent="0.2">
      <c r="A587" s="8" t="s">
        <v>75</v>
      </c>
      <c r="B587" s="9" t="s">
        <v>76</v>
      </c>
      <c r="C587" s="34">
        <v>384</v>
      </c>
      <c r="D587" s="16">
        <f>E587/C587</f>
        <v>199.16023437499999</v>
      </c>
      <c r="E587" s="19">
        <v>76477.53</v>
      </c>
    </row>
    <row r="588" spans="1:5" ht="11.25" customHeight="1" x14ac:dyDescent="0.2">
      <c r="A588" s="8" t="s">
        <v>77</v>
      </c>
      <c r="B588" s="9" t="s">
        <v>78</v>
      </c>
      <c r="C588" s="34">
        <v>6</v>
      </c>
      <c r="D588" s="16">
        <f>E588/C588/12</f>
        <v>7402.6133333333337</v>
      </c>
      <c r="E588" s="19">
        <v>532988.16000000003</v>
      </c>
    </row>
    <row r="589" spans="1:5" ht="11.25" customHeight="1" x14ac:dyDescent="0.2">
      <c r="A589" s="8" t="s">
        <v>79</v>
      </c>
      <c r="B589" s="9" t="s">
        <v>80</v>
      </c>
      <c r="C589" s="16">
        <v>20993</v>
      </c>
      <c r="D589" s="16">
        <f>E589/C589</f>
        <v>4.4497251464773973</v>
      </c>
      <c r="E589" s="19">
        <v>93413.08</v>
      </c>
    </row>
    <row r="590" spans="1:5" ht="11.25" customHeight="1" x14ac:dyDescent="0.2">
      <c r="A590" s="8" t="s">
        <v>81</v>
      </c>
      <c r="B590" s="9" t="s">
        <v>82</v>
      </c>
      <c r="C590" s="34">
        <v>768</v>
      </c>
      <c r="D590" s="16">
        <f>E590/C590</f>
        <v>70.792981770833336</v>
      </c>
      <c r="E590" s="19">
        <v>54369.01</v>
      </c>
    </row>
    <row r="591" spans="1:5" ht="11.25" customHeight="1" x14ac:dyDescent="0.2">
      <c r="A591" s="8" t="s">
        <v>83</v>
      </c>
      <c r="B591" s="9" t="s">
        <v>194</v>
      </c>
      <c r="C591" s="34">
        <v>384</v>
      </c>
      <c r="D591" s="16">
        <f>E591/C591</f>
        <v>86.593203125000002</v>
      </c>
      <c r="E591" s="19">
        <v>33251.79</v>
      </c>
    </row>
    <row r="592" spans="1:5" ht="11.25" customHeight="1" x14ac:dyDescent="0.2">
      <c r="A592" s="8" t="s">
        <v>85</v>
      </c>
      <c r="B592" s="9" t="s">
        <v>86</v>
      </c>
      <c r="C592" s="16">
        <v>0.33</v>
      </c>
      <c r="D592" s="16">
        <f>E592/C592</f>
        <v>19206.272727272724</v>
      </c>
      <c r="E592" s="19">
        <v>6338.07</v>
      </c>
    </row>
    <row r="593" spans="1:6" ht="11.25" customHeight="1" x14ac:dyDescent="0.2">
      <c r="A593" s="8" t="s">
        <v>87</v>
      </c>
      <c r="B593" s="9" t="s">
        <v>88</v>
      </c>
      <c r="C593" s="16"/>
      <c r="D593" s="16"/>
      <c r="E593" s="19">
        <v>0</v>
      </c>
    </row>
    <row r="594" spans="1:6" ht="11.25" customHeight="1" x14ac:dyDescent="0.2">
      <c r="A594" s="8" t="s">
        <v>89</v>
      </c>
      <c r="B594" s="9" t="s">
        <v>90</v>
      </c>
      <c r="C594" s="16"/>
      <c r="D594" s="16"/>
      <c r="E594" s="19">
        <v>0</v>
      </c>
    </row>
    <row r="595" spans="1:6" ht="11.25" customHeight="1" x14ac:dyDescent="0.2">
      <c r="A595" s="8" t="s">
        <v>91</v>
      </c>
      <c r="B595" s="9" t="s">
        <v>202</v>
      </c>
      <c r="C595" s="34">
        <v>12</v>
      </c>
      <c r="D595" s="16">
        <f>E595/C595</f>
        <v>2769.5299401998959</v>
      </c>
      <c r="E595" s="19">
        <f>2826.16*12*1.2*0.81663515754</f>
        <v>33234.359282398749</v>
      </c>
    </row>
    <row r="596" spans="1:6" ht="11.25" customHeight="1" x14ac:dyDescent="0.2">
      <c r="A596" s="8" t="s">
        <v>203</v>
      </c>
      <c r="B596" s="9" t="s">
        <v>92</v>
      </c>
      <c r="C596" s="16"/>
      <c r="D596" s="16"/>
      <c r="E596" s="19">
        <v>0</v>
      </c>
    </row>
    <row r="597" spans="1:6" ht="15" customHeight="1" x14ac:dyDescent="0.2">
      <c r="A597" s="5">
        <v>4</v>
      </c>
      <c r="B597" s="6" t="s">
        <v>193</v>
      </c>
      <c r="C597" s="16"/>
      <c r="D597" s="16"/>
      <c r="E597" s="17">
        <f>ROUND(F598/1.1*0.1,2)</f>
        <v>665058.24</v>
      </c>
    </row>
    <row r="598" spans="1:6" ht="18.75" customHeight="1" x14ac:dyDescent="0.2">
      <c r="A598" s="10"/>
      <c r="B598" s="11" t="s">
        <v>94</v>
      </c>
      <c r="C598" s="21"/>
      <c r="D598" s="21"/>
      <c r="E598" s="17">
        <f>E564+E577+E585+E597</f>
        <v>7315640.6412823992</v>
      </c>
      <c r="F598" s="25">
        <f>E551*29.04*12</f>
        <v>7315640.6399999997</v>
      </c>
    </row>
    <row r="599" spans="1:6" ht="15" customHeight="1" x14ac:dyDescent="0.25">
      <c r="A599" s="10"/>
      <c r="B599" s="11" t="s">
        <v>199</v>
      </c>
      <c r="C599" s="21"/>
      <c r="D599" s="21"/>
      <c r="E599" s="22">
        <v>29.04</v>
      </c>
    </row>
    <row r="600" spans="1:6" ht="10.95" customHeight="1" x14ac:dyDescent="0.2"/>
    <row r="601" spans="1:6" ht="10.95" customHeight="1" x14ac:dyDescent="0.2"/>
    <row r="602" spans="1:6" ht="10.95" customHeight="1" x14ac:dyDescent="0.2"/>
    <row r="603" spans="1:6" ht="15" customHeight="1" x14ac:dyDescent="0.25">
      <c r="B603" s="12" t="s">
        <v>96</v>
      </c>
    </row>
    <row r="604" spans="1:6" ht="12" customHeight="1" x14ac:dyDescent="0.2"/>
    <row r="605" spans="1:6" ht="13.2" customHeight="1" x14ac:dyDescent="0.25">
      <c r="B605" s="3" t="s">
        <v>97</v>
      </c>
    </row>
    <row r="606" spans="1:6" ht="7.95" customHeight="1" x14ac:dyDescent="0.2"/>
    <row r="607" spans="1:6" ht="12" customHeight="1" x14ac:dyDescent="0.25">
      <c r="B607" s="41" t="s">
        <v>100</v>
      </c>
      <c r="C607" s="41"/>
      <c r="D607" s="41"/>
      <c r="E607" s="41"/>
    </row>
    <row r="608" spans="1:6" ht="10.95" customHeight="1" x14ac:dyDescent="0.2"/>
    <row r="609" spans="1:5" ht="10.95" customHeight="1" x14ac:dyDescent="0.2"/>
    <row r="610" spans="1:5" ht="10.95" customHeight="1" x14ac:dyDescent="0.2"/>
    <row r="611" spans="1:5" ht="16.2" customHeight="1" x14ac:dyDescent="0.2">
      <c r="A611" s="39" t="s">
        <v>0</v>
      </c>
      <c r="B611" s="39"/>
      <c r="C611" s="39"/>
      <c r="D611" s="39"/>
      <c r="E611" s="39"/>
    </row>
    <row r="612" spans="1:5" ht="10.95" customHeight="1" x14ac:dyDescent="0.2">
      <c r="A612" s="40" t="s">
        <v>1</v>
      </c>
      <c r="B612" s="40"/>
      <c r="C612" s="40"/>
      <c r="D612" s="40"/>
      <c r="E612" s="40"/>
    </row>
    <row r="613" spans="1:5" ht="13.2" customHeight="1" x14ac:dyDescent="0.2">
      <c r="A613" s="40" t="s">
        <v>198</v>
      </c>
      <c r="B613" s="40"/>
      <c r="C613" s="40"/>
      <c r="D613" s="40"/>
      <c r="E613" s="40"/>
    </row>
    <row r="614" spans="1:5" ht="10.95" customHeight="1" x14ac:dyDescent="0.2"/>
    <row r="615" spans="1:5" ht="10.95" customHeight="1" x14ac:dyDescent="0.2">
      <c r="C615" s="42" t="s">
        <v>3</v>
      </c>
      <c r="D615" s="42"/>
      <c r="E615" s="42"/>
    </row>
    <row r="616" spans="1:5" ht="12" customHeight="1" x14ac:dyDescent="0.2">
      <c r="D616" s="26" t="s">
        <v>4</v>
      </c>
      <c r="E616" s="24">
        <v>25654.9</v>
      </c>
    </row>
    <row r="617" spans="1:5" ht="12" customHeight="1" x14ac:dyDescent="0.2">
      <c r="D617" s="26" t="s">
        <v>5</v>
      </c>
      <c r="E617" s="23">
        <v>729</v>
      </c>
    </row>
    <row r="618" spans="1:5" ht="12" customHeight="1" x14ac:dyDescent="0.2">
      <c r="D618" s="26" t="s">
        <v>6</v>
      </c>
      <c r="E618" s="30">
        <v>7</v>
      </c>
    </row>
    <row r="619" spans="1:5" ht="12" customHeight="1" x14ac:dyDescent="0.2">
      <c r="D619" s="26" t="s">
        <v>7</v>
      </c>
      <c r="E619" s="30">
        <v>17</v>
      </c>
    </row>
    <row r="620" spans="1:5" ht="12" customHeight="1" x14ac:dyDescent="0.2">
      <c r="D620" s="26" t="s">
        <v>8</v>
      </c>
      <c r="E620" s="30">
        <v>463</v>
      </c>
    </row>
    <row r="621" spans="1:5" ht="12" customHeight="1" x14ac:dyDescent="0.2">
      <c r="D621" s="26" t="s">
        <v>9</v>
      </c>
      <c r="E621" s="30">
        <v>1211</v>
      </c>
    </row>
    <row r="622" spans="1:5" ht="12" customHeight="1" x14ac:dyDescent="0.2">
      <c r="D622" s="26" t="s">
        <v>10</v>
      </c>
      <c r="E622" s="30">
        <v>14</v>
      </c>
    </row>
    <row r="623" spans="1:5" ht="12" customHeight="1" x14ac:dyDescent="0.2">
      <c r="D623" s="26" t="s">
        <v>11</v>
      </c>
      <c r="E623" s="30">
        <v>7</v>
      </c>
    </row>
    <row r="624" spans="1:5" ht="12" customHeight="1" x14ac:dyDescent="0.2">
      <c r="D624" s="26" t="s">
        <v>12</v>
      </c>
      <c r="E624" s="30">
        <v>0</v>
      </c>
    </row>
    <row r="625" spans="1:6" ht="12" customHeight="1" x14ac:dyDescent="0.2">
      <c r="D625" s="26" t="s">
        <v>13</v>
      </c>
      <c r="E625" s="30">
        <v>4881</v>
      </c>
    </row>
    <row r="626" spans="1:6" ht="12" customHeight="1" x14ac:dyDescent="0.25">
      <c r="A626" s="2" t="s">
        <v>14</v>
      </c>
      <c r="B626" s="3" t="s">
        <v>111</v>
      </c>
    </row>
    <row r="627" spans="1:6" ht="10.95" customHeight="1" x14ac:dyDescent="0.2"/>
    <row r="628" spans="1:6" ht="45" customHeight="1" x14ac:dyDescent="0.2">
      <c r="A628" s="4" t="s">
        <v>15</v>
      </c>
      <c r="B628" s="4" t="s">
        <v>131</v>
      </c>
      <c r="C628" s="27" t="s">
        <v>17</v>
      </c>
      <c r="D628" s="27" t="s">
        <v>103</v>
      </c>
      <c r="E628" s="27" t="s">
        <v>19</v>
      </c>
    </row>
    <row r="629" spans="1:6" ht="31.5" customHeight="1" x14ac:dyDescent="0.2">
      <c r="A629" s="5">
        <v>1</v>
      </c>
      <c r="B629" s="6" t="s">
        <v>190</v>
      </c>
      <c r="C629" s="16"/>
      <c r="D629" s="16"/>
      <c r="E629" s="17">
        <f>E630+E637</f>
        <v>4308914.318</v>
      </c>
    </row>
    <row r="630" spans="1:6" ht="15.9" customHeight="1" x14ac:dyDescent="0.2">
      <c r="A630" s="7" t="s">
        <v>21</v>
      </c>
      <c r="B630" s="6" t="s">
        <v>137</v>
      </c>
      <c r="C630" s="16"/>
      <c r="D630" s="16"/>
      <c r="E630" s="17">
        <f>SUM(E631:E636)</f>
        <v>2075027.058</v>
      </c>
    </row>
    <row r="631" spans="1:6" ht="11.25" customHeight="1" x14ac:dyDescent="0.2">
      <c r="A631" s="15" t="s">
        <v>23</v>
      </c>
      <c r="B631" s="9" t="s">
        <v>34</v>
      </c>
      <c r="C631" s="16">
        <v>4.03</v>
      </c>
      <c r="D631" s="16">
        <v>18781</v>
      </c>
      <c r="E631" s="19">
        <f>ROUND(C631*D631,2)*12</f>
        <v>908249.15999999992</v>
      </c>
      <c r="F631" s="20"/>
    </row>
    <row r="632" spans="1:6" ht="11.25" customHeight="1" x14ac:dyDescent="0.2">
      <c r="A632" s="8" t="s">
        <v>31</v>
      </c>
      <c r="B632" s="9" t="s">
        <v>36</v>
      </c>
      <c r="C632" s="16">
        <v>2.78</v>
      </c>
      <c r="D632" s="16">
        <v>18781</v>
      </c>
      <c r="E632" s="19">
        <f>ROUND(C632*D632,2)*12</f>
        <v>626534.16</v>
      </c>
    </row>
    <row r="633" spans="1:6" ht="11.25" customHeight="1" x14ac:dyDescent="0.2">
      <c r="A633" s="8" t="s">
        <v>121</v>
      </c>
      <c r="B633" s="9" t="s">
        <v>38</v>
      </c>
      <c r="C633" s="16">
        <v>30.2</v>
      </c>
      <c r="D633" s="16">
        <f>E631</f>
        <v>908249.15999999992</v>
      </c>
      <c r="E633" s="19">
        <f>ROUND(C633*D633/100,2)</f>
        <v>274291.25</v>
      </c>
    </row>
    <row r="634" spans="1:6" ht="11.25" customHeight="1" x14ac:dyDescent="0.2">
      <c r="A634" s="8" t="s">
        <v>186</v>
      </c>
      <c r="B634" s="9" t="s">
        <v>40</v>
      </c>
      <c r="C634" s="16">
        <v>30.2</v>
      </c>
      <c r="D634" s="16">
        <f>E632</f>
        <v>626534.16</v>
      </c>
      <c r="E634" s="19">
        <f>ROUND(C634*D634/100,2)</f>
        <v>189213.32</v>
      </c>
    </row>
    <row r="635" spans="1:6" ht="11.25" customHeight="1" x14ac:dyDescent="0.2">
      <c r="A635" s="8" t="s">
        <v>187</v>
      </c>
      <c r="B635" s="9" t="s">
        <v>42</v>
      </c>
      <c r="C635" s="16"/>
      <c r="D635" s="16"/>
      <c r="E635" s="19">
        <f>ROUND(E631*0.05,2)</f>
        <v>45412.46</v>
      </c>
    </row>
    <row r="636" spans="1:6" ht="11.25" customHeight="1" x14ac:dyDescent="0.2">
      <c r="A636" s="8" t="s">
        <v>188</v>
      </c>
      <c r="B636" s="9" t="s">
        <v>44</v>
      </c>
      <c r="C636" s="16"/>
      <c r="D636" s="16"/>
      <c r="E636" s="19">
        <f>E632*0.05</f>
        <v>31326.708000000002</v>
      </c>
    </row>
    <row r="637" spans="1:6" ht="15.9" customHeight="1" x14ac:dyDescent="0.2">
      <c r="A637" s="7" t="s">
        <v>45</v>
      </c>
      <c r="B637" s="6" t="s">
        <v>138</v>
      </c>
      <c r="C637" s="16"/>
      <c r="D637" s="16"/>
      <c r="E637" s="17">
        <f>E638+E639+E640+E641</f>
        <v>2233887.2600000002</v>
      </c>
    </row>
    <row r="638" spans="1:6" ht="11.25" customHeight="1" x14ac:dyDescent="0.2">
      <c r="A638" s="8" t="s">
        <v>47</v>
      </c>
      <c r="B638" s="9" t="s">
        <v>48</v>
      </c>
      <c r="C638" s="16">
        <v>6</v>
      </c>
      <c r="D638" s="16">
        <v>18781</v>
      </c>
      <c r="E638" s="19">
        <f>ROUND(C638*D638,2)*12</f>
        <v>1352232</v>
      </c>
      <c r="F638" s="20"/>
    </row>
    <row r="639" spans="1:6" ht="11.25" customHeight="1" x14ac:dyDescent="0.2">
      <c r="A639" s="8" t="s">
        <v>49</v>
      </c>
      <c r="B639" s="9" t="s">
        <v>50</v>
      </c>
      <c r="C639" s="16">
        <v>30.2</v>
      </c>
      <c r="D639" s="16">
        <f>E638</f>
        <v>1352232</v>
      </c>
      <c r="E639" s="19">
        <f>ROUND(C639*D639/100,2)</f>
        <v>408374.06</v>
      </c>
    </row>
    <row r="640" spans="1:6" ht="11.25" customHeight="1" x14ac:dyDescent="0.2">
      <c r="A640" s="8" t="s">
        <v>51</v>
      </c>
      <c r="B640" s="9" t="s">
        <v>52</v>
      </c>
      <c r="C640" s="16"/>
      <c r="D640" s="16"/>
      <c r="E640" s="19">
        <f>E638*0.3</f>
        <v>405669.6</v>
      </c>
    </row>
    <row r="641" spans="1:5" ht="11.25" customHeight="1" x14ac:dyDescent="0.2">
      <c r="A641" s="8" t="s">
        <v>53</v>
      </c>
      <c r="B641" s="9" t="s">
        <v>54</v>
      </c>
      <c r="C641" s="16"/>
      <c r="D641" s="16"/>
      <c r="E641" s="19">
        <f>E638*0.05</f>
        <v>67611.600000000006</v>
      </c>
    </row>
    <row r="642" spans="1:5" ht="20.100000000000001" customHeight="1" x14ac:dyDescent="0.2">
      <c r="A642" s="5">
        <v>2</v>
      </c>
      <c r="B642" s="6" t="s">
        <v>57</v>
      </c>
      <c r="C642" s="16"/>
      <c r="D642" s="16"/>
      <c r="E642" s="17">
        <f>E643+E645+E646+E647+E648+E649+E644</f>
        <v>2130868.7999999998</v>
      </c>
    </row>
    <row r="643" spans="1:5" ht="11.25" customHeight="1" x14ac:dyDescent="0.2">
      <c r="A643" s="35" t="s">
        <v>58</v>
      </c>
      <c r="B643" s="9" t="s">
        <v>204</v>
      </c>
      <c r="C643" s="16">
        <v>1755.95</v>
      </c>
      <c r="D643" s="16">
        <f>E643/C643</f>
        <v>177.96999914576153</v>
      </c>
      <c r="E643" s="19">
        <v>312506.42</v>
      </c>
    </row>
    <row r="644" spans="1:5" ht="11.25" customHeight="1" x14ac:dyDescent="0.2">
      <c r="A644" s="35" t="s">
        <v>60</v>
      </c>
      <c r="B644" s="9" t="s">
        <v>195</v>
      </c>
      <c r="C644" s="16">
        <v>1755.95</v>
      </c>
      <c r="D644" s="16">
        <f>E644/C644</f>
        <v>219.63343489279308</v>
      </c>
      <c r="E644" s="19">
        <v>385665.33</v>
      </c>
    </row>
    <row r="645" spans="1:5" ht="11.25" customHeight="1" x14ac:dyDescent="0.2">
      <c r="A645" s="35" t="s">
        <v>62</v>
      </c>
      <c r="B645" s="9" t="s">
        <v>196</v>
      </c>
      <c r="C645" s="16">
        <v>557.05999999999995</v>
      </c>
      <c r="D645" s="16">
        <f>E645/C645</f>
        <v>848.40124941658007</v>
      </c>
      <c r="E645" s="19">
        <v>472610.4</v>
      </c>
    </row>
    <row r="646" spans="1:5" ht="11.25" customHeight="1" x14ac:dyDescent="0.2">
      <c r="A646" s="35" t="s">
        <v>64</v>
      </c>
      <c r="B646" s="9" t="s">
        <v>63</v>
      </c>
      <c r="C646" s="16">
        <f>E646/D646</f>
        <v>152681.75514874139</v>
      </c>
      <c r="D646" s="16">
        <v>4.37</v>
      </c>
      <c r="E646" s="19">
        <f>677350+15489.34-18249.16-7370.91</f>
        <v>667219.2699999999</v>
      </c>
    </row>
    <row r="647" spans="1:5" ht="11.25" customHeight="1" x14ac:dyDescent="0.2">
      <c r="A647" s="35" t="s">
        <v>66</v>
      </c>
      <c r="B647" s="9" t="s">
        <v>65</v>
      </c>
      <c r="C647" s="16">
        <f>E647/D647</f>
        <v>3327.6938775510207</v>
      </c>
      <c r="D647" s="16">
        <v>68.11</v>
      </c>
      <c r="E647" s="19">
        <v>226649.23</v>
      </c>
    </row>
    <row r="648" spans="1:5" ht="11.25" customHeight="1" x14ac:dyDescent="0.2">
      <c r="A648" s="35" t="s">
        <v>68</v>
      </c>
      <c r="B648" s="9" t="s">
        <v>69</v>
      </c>
      <c r="C648" s="16">
        <v>2199.3000000000002</v>
      </c>
      <c r="D648" s="16">
        <f>E648/C648</f>
        <v>3.3499977265493563</v>
      </c>
      <c r="E648" s="19">
        <v>7367.65</v>
      </c>
    </row>
    <row r="649" spans="1:5" ht="11.25" customHeight="1" x14ac:dyDescent="0.2">
      <c r="A649" s="35" t="s">
        <v>70</v>
      </c>
      <c r="B649" s="9" t="s">
        <v>71</v>
      </c>
      <c r="C649" s="16">
        <v>312.97000000000003</v>
      </c>
      <c r="D649" s="16">
        <f>E649/C649</f>
        <v>188.03878966035083</v>
      </c>
      <c r="E649" s="19">
        <v>58850.5</v>
      </c>
    </row>
    <row r="650" spans="1:5" ht="20.100000000000001" customHeight="1" x14ac:dyDescent="0.2">
      <c r="A650" s="5">
        <v>3</v>
      </c>
      <c r="B650" s="6" t="s">
        <v>72</v>
      </c>
      <c r="C650" s="16"/>
      <c r="D650" s="16"/>
      <c r="E650" s="17">
        <f>E651+E652+E653+E654+E655+E656+E657+E658+E659+E661+E660</f>
        <v>1687689.1991627982</v>
      </c>
    </row>
    <row r="651" spans="1:5" ht="11.25" customHeight="1" x14ac:dyDescent="0.2">
      <c r="A651" s="8" t="s">
        <v>73</v>
      </c>
      <c r="B651" s="9" t="s">
        <v>74</v>
      </c>
      <c r="C651" s="34">
        <v>14</v>
      </c>
      <c r="D651" s="16">
        <f>E651/C651/12</f>
        <v>4245.8999999999996</v>
      </c>
      <c r="E651" s="19">
        <v>713311.2</v>
      </c>
    </row>
    <row r="652" spans="1:5" ht="11.25" customHeight="1" x14ac:dyDescent="0.2">
      <c r="A652" s="8" t="s">
        <v>75</v>
      </c>
      <c r="B652" s="9" t="s">
        <v>76</v>
      </c>
      <c r="C652" s="34">
        <v>463</v>
      </c>
      <c r="D652" s="16">
        <f>E652/C652</f>
        <v>199.16023758099354</v>
      </c>
      <c r="E652" s="19">
        <v>92211.19</v>
      </c>
    </row>
    <row r="653" spans="1:5" ht="11.25" customHeight="1" x14ac:dyDescent="0.2">
      <c r="A653" s="8" t="s">
        <v>77</v>
      </c>
      <c r="B653" s="9" t="s">
        <v>78</v>
      </c>
      <c r="C653" s="34">
        <v>7</v>
      </c>
      <c r="D653" s="16">
        <f>E653/C653/12</f>
        <v>7402.6133333333337</v>
      </c>
      <c r="E653" s="19">
        <v>621819.52</v>
      </c>
    </row>
    <row r="654" spans="1:5" ht="11.25" customHeight="1" x14ac:dyDescent="0.2">
      <c r="A654" s="8" t="s">
        <v>79</v>
      </c>
      <c r="B654" s="9" t="s">
        <v>80</v>
      </c>
      <c r="C654" s="16">
        <v>25654.9</v>
      </c>
      <c r="D654" s="16">
        <f>E654/C654</f>
        <v>4.2679959773766409</v>
      </c>
      <c r="E654" s="19">
        <v>109495.01</v>
      </c>
    </row>
    <row r="655" spans="1:5" ht="11.25" customHeight="1" x14ac:dyDescent="0.2">
      <c r="A655" s="8" t="s">
        <v>81</v>
      </c>
      <c r="B655" s="9" t="s">
        <v>82</v>
      </c>
      <c r="C655" s="34">
        <v>926</v>
      </c>
      <c r="D655" s="16">
        <f>E655/C655</f>
        <v>70.608207343412531</v>
      </c>
      <c r="E655" s="19">
        <v>65383.199999999997</v>
      </c>
    </row>
    <row r="656" spans="1:5" ht="11.25" customHeight="1" x14ac:dyDescent="0.2">
      <c r="A656" s="8" t="s">
        <v>83</v>
      </c>
      <c r="B656" s="9" t="s">
        <v>194</v>
      </c>
      <c r="C656" s="34">
        <v>463</v>
      </c>
      <c r="D656" s="16">
        <f>E656/C656</f>
        <v>86.750604751619875</v>
      </c>
      <c r="E656" s="19">
        <v>40165.53</v>
      </c>
    </row>
    <row r="657" spans="1:6" ht="11.25" customHeight="1" x14ac:dyDescent="0.2">
      <c r="A657" s="8" t="s">
        <v>85</v>
      </c>
      <c r="B657" s="9" t="s">
        <v>86</v>
      </c>
      <c r="C657" s="16">
        <v>0.34</v>
      </c>
      <c r="D657" s="16">
        <f>E657/C657</f>
        <v>19206.264705882353</v>
      </c>
      <c r="E657" s="19">
        <v>6530.13</v>
      </c>
    </row>
    <row r="658" spans="1:6" ht="11.25" customHeight="1" x14ac:dyDescent="0.2">
      <c r="A658" s="8" t="s">
        <v>87</v>
      </c>
      <c r="B658" s="9" t="s">
        <v>88</v>
      </c>
      <c r="C658" s="16"/>
      <c r="D658" s="16"/>
      <c r="E658" s="19">
        <v>0</v>
      </c>
    </row>
    <row r="659" spans="1:6" ht="11.25" customHeight="1" x14ac:dyDescent="0.2">
      <c r="A659" s="8" t="s">
        <v>89</v>
      </c>
      <c r="B659" s="9" t="s">
        <v>90</v>
      </c>
      <c r="C659" s="16"/>
      <c r="D659" s="16"/>
      <c r="E659" s="19">
        <v>0</v>
      </c>
    </row>
    <row r="660" spans="1:6" ht="11.25" customHeight="1" x14ac:dyDescent="0.2">
      <c r="A660" s="8" t="s">
        <v>91</v>
      </c>
      <c r="B660" s="9" t="s">
        <v>202</v>
      </c>
      <c r="C660" s="34">
        <v>14</v>
      </c>
      <c r="D660" s="16">
        <f>E660/C660</f>
        <v>2769.5299401998959</v>
      </c>
      <c r="E660" s="19">
        <f>2826.16*14*1.2*0.81663515754</f>
        <v>38773.419162798542</v>
      </c>
    </row>
    <row r="661" spans="1:6" ht="11.25" customHeight="1" x14ac:dyDescent="0.2">
      <c r="A661" s="8" t="s">
        <v>203</v>
      </c>
      <c r="B661" s="9" t="s">
        <v>92</v>
      </c>
      <c r="C661" s="16"/>
      <c r="D661" s="16"/>
      <c r="E661" s="19">
        <v>0</v>
      </c>
    </row>
    <row r="662" spans="1:6" ht="15" customHeight="1" x14ac:dyDescent="0.2">
      <c r="A662" s="5">
        <v>4</v>
      </c>
      <c r="B662" s="6" t="s">
        <v>193</v>
      </c>
      <c r="C662" s="16"/>
      <c r="D662" s="16"/>
      <c r="E662" s="17">
        <f>ROUND(F663/1.1*0.1,2)</f>
        <v>812747.23</v>
      </c>
    </row>
    <row r="663" spans="1:6" ht="18.75" customHeight="1" x14ac:dyDescent="0.2">
      <c r="A663" s="10"/>
      <c r="B663" s="11" t="s">
        <v>94</v>
      </c>
      <c r="C663" s="21"/>
      <c r="D663" s="21"/>
      <c r="E663" s="17">
        <f>E629+E642+E650+E662</f>
        <v>8940219.5471627973</v>
      </c>
      <c r="F663" s="25">
        <f>E616*29.04*12</f>
        <v>8940219.5519999992</v>
      </c>
    </row>
    <row r="664" spans="1:6" ht="15" customHeight="1" x14ac:dyDescent="0.25">
      <c r="A664" s="10"/>
      <c r="B664" s="11" t="s">
        <v>199</v>
      </c>
      <c r="C664" s="21"/>
      <c r="D664" s="21"/>
      <c r="E664" s="22">
        <v>29.04</v>
      </c>
    </row>
    <row r="665" spans="1:6" ht="10.95" customHeight="1" x14ac:dyDescent="0.2"/>
    <row r="666" spans="1:6" ht="10.95" customHeight="1" x14ac:dyDescent="0.2"/>
    <row r="667" spans="1:6" ht="10.95" customHeight="1" x14ac:dyDescent="0.2"/>
    <row r="668" spans="1:6" ht="15" customHeight="1" x14ac:dyDescent="0.25">
      <c r="B668" s="12" t="s">
        <v>96</v>
      </c>
    </row>
    <row r="669" spans="1:6" ht="12" customHeight="1" x14ac:dyDescent="0.2"/>
    <row r="670" spans="1:6" ht="13.2" customHeight="1" x14ac:dyDescent="0.25">
      <c r="B670" s="3" t="s">
        <v>97</v>
      </c>
    </row>
    <row r="671" spans="1:6" ht="7.95" customHeight="1" x14ac:dyDescent="0.2"/>
    <row r="672" spans="1:6" ht="12" customHeight="1" x14ac:dyDescent="0.25">
      <c r="B672" s="41" t="s">
        <v>100</v>
      </c>
      <c r="C672" s="41"/>
      <c r="D672" s="41"/>
      <c r="E672" s="41"/>
    </row>
    <row r="673" spans="1:5" ht="10.95" customHeight="1" x14ac:dyDescent="0.2"/>
    <row r="674" spans="1:5" ht="10.95" customHeight="1" x14ac:dyDescent="0.2"/>
    <row r="675" spans="1:5" ht="10.95" customHeight="1" x14ac:dyDescent="0.2"/>
    <row r="676" spans="1:5" ht="16.2" customHeight="1" x14ac:dyDescent="0.2">
      <c r="A676" s="39" t="s">
        <v>0</v>
      </c>
      <c r="B676" s="39"/>
      <c r="C676" s="39"/>
      <c r="D676" s="39"/>
      <c r="E676" s="39"/>
    </row>
    <row r="677" spans="1:5" ht="10.95" customHeight="1" x14ac:dyDescent="0.2">
      <c r="A677" s="40" t="s">
        <v>1</v>
      </c>
      <c r="B677" s="40"/>
      <c r="C677" s="40"/>
      <c r="D677" s="40"/>
      <c r="E677" s="40"/>
    </row>
    <row r="678" spans="1:5" ht="13.2" customHeight="1" x14ac:dyDescent="0.2">
      <c r="A678" s="40" t="s">
        <v>198</v>
      </c>
      <c r="B678" s="40"/>
      <c r="C678" s="40"/>
      <c r="D678" s="40"/>
      <c r="E678" s="40"/>
    </row>
    <row r="679" spans="1:5" ht="10.95" customHeight="1" x14ac:dyDescent="0.2"/>
    <row r="680" spans="1:5" ht="10.95" customHeight="1" x14ac:dyDescent="0.2">
      <c r="C680" s="42" t="s">
        <v>3</v>
      </c>
      <c r="D680" s="42"/>
      <c r="E680" s="42"/>
    </row>
    <row r="681" spans="1:5" ht="12" customHeight="1" x14ac:dyDescent="0.2">
      <c r="D681" s="26" t="s">
        <v>4</v>
      </c>
      <c r="E681" s="24">
        <v>23987.9</v>
      </c>
    </row>
    <row r="682" spans="1:5" ht="12" customHeight="1" x14ac:dyDescent="0.2">
      <c r="D682" s="26" t="s">
        <v>5</v>
      </c>
      <c r="E682" s="23">
        <v>16.7</v>
      </c>
    </row>
    <row r="683" spans="1:5" ht="12" customHeight="1" x14ac:dyDescent="0.2">
      <c r="D683" s="26" t="s">
        <v>6</v>
      </c>
      <c r="E683" s="30">
        <v>10</v>
      </c>
    </row>
    <row r="684" spans="1:5" ht="12" customHeight="1" x14ac:dyDescent="0.2">
      <c r="D684" s="26" t="s">
        <v>7</v>
      </c>
      <c r="E684" s="30">
        <v>12</v>
      </c>
    </row>
    <row r="685" spans="1:5" ht="12" customHeight="1" x14ac:dyDescent="0.2">
      <c r="D685" s="26" t="s">
        <v>8</v>
      </c>
      <c r="E685" s="30">
        <v>477</v>
      </c>
    </row>
    <row r="686" spans="1:5" ht="12" customHeight="1" x14ac:dyDescent="0.2">
      <c r="D686" s="26" t="s">
        <v>9</v>
      </c>
      <c r="E686" s="30">
        <v>1356</v>
      </c>
    </row>
    <row r="687" spans="1:5" ht="12" customHeight="1" x14ac:dyDescent="0.2">
      <c r="D687" s="26" t="s">
        <v>10</v>
      </c>
      <c r="E687" s="30">
        <v>20</v>
      </c>
    </row>
    <row r="688" spans="1:5" ht="12" customHeight="1" x14ac:dyDescent="0.2">
      <c r="D688" s="26" t="s">
        <v>11</v>
      </c>
      <c r="E688" s="30">
        <v>10</v>
      </c>
    </row>
    <row r="689" spans="1:6" ht="12" customHeight="1" x14ac:dyDescent="0.2">
      <c r="D689" s="26" t="s">
        <v>12</v>
      </c>
      <c r="E689" s="30">
        <v>0</v>
      </c>
    </row>
    <row r="690" spans="1:6" ht="12" customHeight="1" x14ac:dyDescent="0.2">
      <c r="D690" s="26" t="s">
        <v>13</v>
      </c>
      <c r="E690" s="30">
        <v>2862</v>
      </c>
    </row>
    <row r="691" spans="1:6" ht="12" customHeight="1" x14ac:dyDescent="0.25">
      <c r="A691" s="2" t="s">
        <v>14</v>
      </c>
      <c r="B691" s="3" t="s">
        <v>112</v>
      </c>
    </row>
    <row r="692" spans="1:6" ht="10.95" customHeight="1" x14ac:dyDescent="0.2"/>
    <row r="693" spans="1:6" ht="45" customHeight="1" x14ac:dyDescent="0.2">
      <c r="A693" s="4" t="s">
        <v>15</v>
      </c>
      <c r="B693" s="4" t="s">
        <v>131</v>
      </c>
      <c r="C693" s="27" t="s">
        <v>17</v>
      </c>
      <c r="D693" s="27" t="s">
        <v>103</v>
      </c>
      <c r="E693" s="27" t="s">
        <v>19</v>
      </c>
    </row>
    <row r="694" spans="1:6" ht="31.5" customHeight="1" x14ac:dyDescent="0.2">
      <c r="A694" s="5">
        <v>1</v>
      </c>
      <c r="B694" s="6" t="s">
        <v>190</v>
      </c>
      <c r="C694" s="16"/>
      <c r="D694" s="16"/>
      <c r="E694" s="17">
        <f>E695+E702</f>
        <v>3966443.534</v>
      </c>
    </row>
    <row r="695" spans="1:6" ht="15.9" customHeight="1" x14ac:dyDescent="0.2">
      <c r="A695" s="7" t="s">
        <v>21</v>
      </c>
      <c r="B695" s="6" t="s">
        <v>137</v>
      </c>
      <c r="C695" s="16"/>
      <c r="D695" s="16"/>
      <c r="E695" s="17">
        <f>SUM(E696:E701)</f>
        <v>1823155.814</v>
      </c>
    </row>
    <row r="696" spans="1:6" ht="11.25" customHeight="1" x14ac:dyDescent="0.2">
      <c r="A696" s="15" t="s">
        <v>23</v>
      </c>
      <c r="B696" s="9" t="s">
        <v>34</v>
      </c>
      <c r="C696" s="16">
        <v>2.66</v>
      </c>
      <c r="D696" s="16">
        <v>18781</v>
      </c>
      <c r="E696" s="19">
        <f>ROUND(C696*D696,2)*12</f>
        <v>599489.52</v>
      </c>
      <c r="F696" s="20"/>
    </row>
    <row r="697" spans="1:6" ht="11.25" customHeight="1" x14ac:dyDescent="0.2">
      <c r="A697" s="8" t="s">
        <v>31</v>
      </c>
      <c r="B697" s="9" t="s">
        <v>36</v>
      </c>
      <c r="C697" s="16">
        <v>3.11</v>
      </c>
      <c r="D697" s="16">
        <v>18781</v>
      </c>
      <c r="E697" s="19">
        <f>ROUND(C697*D697,2)*12</f>
        <v>700906.92</v>
      </c>
    </row>
    <row r="698" spans="1:6" ht="11.25" customHeight="1" x14ac:dyDescent="0.2">
      <c r="A698" s="8" t="s">
        <v>121</v>
      </c>
      <c r="B698" s="9" t="s">
        <v>38</v>
      </c>
      <c r="C698" s="16">
        <v>30.2</v>
      </c>
      <c r="D698" s="16">
        <f>E696</f>
        <v>599489.52</v>
      </c>
      <c r="E698" s="19">
        <f>ROUND(C698*D698/100,2)</f>
        <v>181045.84</v>
      </c>
    </row>
    <row r="699" spans="1:6" ht="11.25" customHeight="1" x14ac:dyDescent="0.2">
      <c r="A699" s="8" t="s">
        <v>186</v>
      </c>
      <c r="B699" s="9" t="s">
        <v>40</v>
      </c>
      <c r="C699" s="16">
        <v>30.2</v>
      </c>
      <c r="D699" s="16">
        <f>E697</f>
        <v>700906.92</v>
      </c>
      <c r="E699" s="19">
        <f>ROUND(C699*D699/100,2)</f>
        <v>211673.89</v>
      </c>
    </row>
    <row r="700" spans="1:6" ht="11.25" customHeight="1" x14ac:dyDescent="0.2">
      <c r="A700" s="8" t="s">
        <v>187</v>
      </c>
      <c r="B700" s="9" t="s">
        <v>42</v>
      </c>
      <c r="C700" s="16"/>
      <c r="D700" s="16"/>
      <c r="E700" s="19">
        <f>E696*0.1</f>
        <v>59948.952000000005</v>
      </c>
    </row>
    <row r="701" spans="1:6" ht="11.25" customHeight="1" x14ac:dyDescent="0.2">
      <c r="A701" s="8" t="s">
        <v>188</v>
      </c>
      <c r="B701" s="9" t="s">
        <v>44</v>
      </c>
      <c r="C701" s="16"/>
      <c r="D701" s="16"/>
      <c r="E701" s="19">
        <f>E697*0.1</f>
        <v>70090.69200000001</v>
      </c>
    </row>
    <row r="702" spans="1:6" ht="15.9" customHeight="1" x14ac:dyDescent="0.2">
      <c r="A702" s="7" t="s">
        <v>45</v>
      </c>
      <c r="B702" s="6" t="s">
        <v>138</v>
      </c>
      <c r="C702" s="16"/>
      <c r="D702" s="16"/>
      <c r="E702" s="17">
        <f>E703+E704+E705+E706</f>
        <v>2143287.7199999997</v>
      </c>
    </row>
    <row r="703" spans="1:6" ht="11.25" customHeight="1" x14ac:dyDescent="0.2">
      <c r="A703" s="8" t="s">
        <v>47</v>
      </c>
      <c r="B703" s="9" t="s">
        <v>48</v>
      </c>
      <c r="C703" s="16">
        <v>5</v>
      </c>
      <c r="D703" s="16">
        <v>18781</v>
      </c>
      <c r="E703" s="19">
        <f>ROUND(C703*D703,2)*12</f>
        <v>1126860</v>
      </c>
      <c r="F703" s="20"/>
    </row>
    <row r="704" spans="1:6" ht="11.25" customHeight="1" x14ac:dyDescent="0.2">
      <c r="A704" s="8" t="s">
        <v>49</v>
      </c>
      <c r="B704" s="9" t="s">
        <v>50</v>
      </c>
      <c r="C704" s="16">
        <v>30.2</v>
      </c>
      <c r="D704" s="16">
        <f>E703</f>
        <v>1126860</v>
      </c>
      <c r="E704" s="19">
        <f>ROUND(C704*D704/100,2)</f>
        <v>340311.72</v>
      </c>
    </row>
    <row r="705" spans="1:5" ht="11.25" customHeight="1" x14ac:dyDescent="0.2">
      <c r="A705" s="8" t="s">
        <v>51</v>
      </c>
      <c r="B705" s="9" t="s">
        <v>52</v>
      </c>
      <c r="C705" s="16"/>
      <c r="D705" s="16"/>
      <c r="E705" s="19">
        <f>E703*0.5</f>
        <v>563430</v>
      </c>
    </row>
    <row r="706" spans="1:5" ht="11.25" customHeight="1" x14ac:dyDescent="0.2">
      <c r="A706" s="8" t="s">
        <v>53</v>
      </c>
      <c r="B706" s="9" t="s">
        <v>54</v>
      </c>
      <c r="C706" s="16"/>
      <c r="D706" s="16"/>
      <c r="E706" s="19">
        <f>E703*0.1</f>
        <v>112686</v>
      </c>
    </row>
    <row r="707" spans="1:5" ht="20.100000000000001" customHeight="1" x14ac:dyDescent="0.2">
      <c r="A707" s="5">
        <v>2</v>
      </c>
      <c r="B707" s="6" t="s">
        <v>57</v>
      </c>
      <c r="C707" s="16"/>
      <c r="D707" s="16"/>
      <c r="E707" s="17">
        <f>E708+E710+E711+E712+E713+E714+E709</f>
        <v>2106590.84</v>
      </c>
    </row>
    <row r="708" spans="1:5" ht="11.25" customHeight="1" x14ac:dyDescent="0.2">
      <c r="A708" s="35" t="s">
        <v>58</v>
      </c>
      <c r="B708" s="9" t="s">
        <v>204</v>
      </c>
      <c r="C708" s="16">
        <v>1966.2</v>
      </c>
      <c r="D708" s="16">
        <f>E708/C708</f>
        <v>177.96999796561894</v>
      </c>
      <c r="E708" s="19">
        <v>349924.61</v>
      </c>
    </row>
    <row r="709" spans="1:5" ht="11.25" customHeight="1" x14ac:dyDescent="0.2">
      <c r="A709" s="35" t="s">
        <v>60</v>
      </c>
      <c r="B709" s="9" t="s">
        <v>195</v>
      </c>
      <c r="C709" s="16">
        <v>1966.2</v>
      </c>
      <c r="D709" s="16">
        <f>E709/C709</f>
        <v>219.63343505238532</v>
      </c>
      <c r="E709" s="19">
        <v>431843.26</v>
      </c>
    </row>
    <row r="710" spans="1:5" ht="11.25" customHeight="1" x14ac:dyDescent="0.2">
      <c r="A710" s="35" t="s">
        <v>62</v>
      </c>
      <c r="B710" s="9" t="s">
        <v>196</v>
      </c>
      <c r="C710" s="16">
        <v>623.76</v>
      </c>
      <c r="D710" s="16">
        <f>E710/C710</f>
        <v>848.40124406823145</v>
      </c>
      <c r="E710" s="19">
        <v>529198.76</v>
      </c>
    </row>
    <row r="711" spans="1:5" ht="11.25" customHeight="1" x14ac:dyDescent="0.2">
      <c r="A711" s="35" t="s">
        <v>64</v>
      </c>
      <c r="B711" s="9" t="s">
        <v>63</v>
      </c>
      <c r="C711" s="16">
        <f>E711/D711</f>
        <v>86199.259597806216</v>
      </c>
      <c r="D711" s="16">
        <v>5.47</v>
      </c>
      <c r="E711" s="19">
        <f>492300-51043.58+30253.53</f>
        <v>471509.94999999995</v>
      </c>
    </row>
    <row r="712" spans="1:5" ht="11.25" customHeight="1" x14ac:dyDescent="0.2">
      <c r="A712" s="35" t="s">
        <v>66</v>
      </c>
      <c r="B712" s="9" t="s">
        <v>65</v>
      </c>
      <c r="C712" s="16">
        <f>E712/D712</f>
        <v>3741.6016737630302</v>
      </c>
      <c r="D712" s="16">
        <v>68.11</v>
      </c>
      <c r="E712" s="19">
        <v>254840.49</v>
      </c>
    </row>
    <row r="713" spans="1:5" ht="11.25" customHeight="1" x14ac:dyDescent="0.2">
      <c r="A713" s="35" t="s">
        <v>68</v>
      </c>
      <c r="B713" s="9" t="s">
        <v>69</v>
      </c>
      <c r="C713" s="16">
        <v>2963.8</v>
      </c>
      <c r="D713" s="16">
        <f>E713/C713</f>
        <v>3.3499999999999996</v>
      </c>
      <c r="E713" s="19">
        <v>9928.73</v>
      </c>
    </row>
    <row r="714" spans="1:5" ht="11.25" customHeight="1" x14ac:dyDescent="0.2">
      <c r="A714" s="35" t="s">
        <v>70</v>
      </c>
      <c r="B714" s="9" t="s">
        <v>71</v>
      </c>
      <c r="C714" s="16">
        <v>315.60000000000002</v>
      </c>
      <c r="D714" s="16">
        <f>E714/C714</f>
        <v>188.03878326996195</v>
      </c>
      <c r="E714" s="19">
        <v>59345.04</v>
      </c>
    </row>
    <row r="715" spans="1:5" ht="20.100000000000001" customHeight="1" x14ac:dyDescent="0.2">
      <c r="A715" s="5">
        <v>3</v>
      </c>
      <c r="B715" s="6" t="s">
        <v>72</v>
      </c>
      <c r="C715" s="16"/>
      <c r="D715" s="16"/>
      <c r="E715" s="17">
        <f>E716+E717+E718+E719+E720+E721+E722+E723+E724+E726+E725</f>
        <v>1526332.348803998</v>
      </c>
    </row>
    <row r="716" spans="1:5" ht="11.25" customHeight="1" x14ac:dyDescent="0.2">
      <c r="A716" s="8" t="s">
        <v>73</v>
      </c>
      <c r="B716" s="9" t="s">
        <v>74</v>
      </c>
      <c r="C716" s="34">
        <v>20</v>
      </c>
      <c r="D716" s="16">
        <f>E716/C716/12</f>
        <v>3648.7320833333329</v>
      </c>
      <c r="E716" s="19">
        <v>875695.7</v>
      </c>
    </row>
    <row r="717" spans="1:5" ht="11.25" customHeight="1" x14ac:dyDescent="0.2">
      <c r="A717" s="8" t="s">
        <v>75</v>
      </c>
      <c r="B717" s="9" t="s">
        <v>76</v>
      </c>
      <c r="C717" s="34"/>
      <c r="D717" s="16"/>
      <c r="E717" s="19">
        <v>0</v>
      </c>
    </row>
    <row r="718" spans="1:5" ht="11.25" customHeight="1" x14ac:dyDescent="0.2">
      <c r="A718" s="8" t="s">
        <v>77</v>
      </c>
      <c r="B718" s="9" t="s">
        <v>78</v>
      </c>
      <c r="C718" s="34">
        <v>10</v>
      </c>
      <c r="D718" s="16">
        <f>E718/C718/12</f>
        <v>928.83274999999992</v>
      </c>
      <c r="E718" s="19">
        <v>111459.93</v>
      </c>
    </row>
    <row r="719" spans="1:5" ht="11.25" customHeight="1" x14ac:dyDescent="0.2">
      <c r="A719" s="8" t="s">
        <v>79</v>
      </c>
      <c r="B719" s="9" t="s">
        <v>80</v>
      </c>
      <c r="C719" s="16">
        <v>23987.9</v>
      </c>
      <c r="D719" s="16">
        <f>E719/C719</f>
        <v>4.1529583665097816</v>
      </c>
      <c r="E719" s="19">
        <v>99620.75</v>
      </c>
    </row>
    <row r="720" spans="1:5" ht="11.25" customHeight="1" x14ac:dyDescent="0.2">
      <c r="A720" s="8" t="s">
        <v>81</v>
      </c>
      <c r="B720" s="9" t="s">
        <v>82</v>
      </c>
      <c r="C720" s="34">
        <v>954</v>
      </c>
      <c r="D720" s="16">
        <f>E720/C720</f>
        <v>71.066247379454921</v>
      </c>
      <c r="E720" s="19">
        <v>67797.2</v>
      </c>
    </row>
    <row r="721" spans="1:6" ht="11.25" customHeight="1" x14ac:dyDescent="0.2">
      <c r="A721" s="8" t="s">
        <v>83</v>
      </c>
      <c r="B721" s="9" t="s">
        <v>194</v>
      </c>
      <c r="C721" s="34">
        <v>477</v>
      </c>
      <c r="D721" s="16">
        <f>E721/C721</f>
        <v>88.277484276729567</v>
      </c>
      <c r="E721" s="19">
        <v>42108.36</v>
      </c>
    </row>
    <row r="722" spans="1:6" ht="11.25" customHeight="1" x14ac:dyDescent="0.2">
      <c r="A722" s="8" t="s">
        <v>85</v>
      </c>
      <c r="B722" s="9" t="s">
        <v>86</v>
      </c>
      <c r="C722" s="34">
        <v>1</v>
      </c>
      <c r="D722" s="16">
        <f>E722/C722</f>
        <v>19219.259999999998</v>
      </c>
      <c r="E722" s="19">
        <v>19219.259999999998</v>
      </c>
    </row>
    <row r="723" spans="1:6" ht="11.25" customHeight="1" x14ac:dyDescent="0.2">
      <c r="A723" s="8" t="s">
        <v>87</v>
      </c>
      <c r="B723" s="9" t="s">
        <v>88</v>
      </c>
      <c r="C723" s="34">
        <v>477</v>
      </c>
      <c r="D723" s="16">
        <f>E723/C723</f>
        <v>534.67620545073373</v>
      </c>
      <c r="E723" s="19">
        <v>255040.55</v>
      </c>
    </row>
    <row r="724" spans="1:6" ht="11.25" customHeight="1" x14ac:dyDescent="0.2">
      <c r="A724" s="8" t="s">
        <v>89</v>
      </c>
      <c r="B724" s="9" t="s">
        <v>90</v>
      </c>
      <c r="C724" s="16"/>
      <c r="D724" s="16"/>
      <c r="E724" s="19">
        <v>0</v>
      </c>
    </row>
    <row r="725" spans="1:6" ht="11.25" customHeight="1" x14ac:dyDescent="0.2">
      <c r="A725" s="8" t="s">
        <v>91</v>
      </c>
      <c r="B725" s="9" t="s">
        <v>202</v>
      </c>
      <c r="C725" s="34">
        <v>20</v>
      </c>
      <c r="D725" s="16">
        <f>E725/C725</f>
        <v>2769.5299401998955</v>
      </c>
      <c r="E725" s="19">
        <f>2826.16*20*1.2*0.81663515754</f>
        <v>55390.598803997913</v>
      </c>
    </row>
    <row r="726" spans="1:6" ht="11.25" customHeight="1" x14ac:dyDescent="0.2">
      <c r="A726" s="8" t="s">
        <v>203</v>
      </c>
      <c r="B726" s="9" t="s">
        <v>92</v>
      </c>
      <c r="C726" s="16"/>
      <c r="D726" s="16"/>
      <c r="E726" s="19">
        <v>0</v>
      </c>
    </row>
    <row r="727" spans="1:6" ht="15" customHeight="1" x14ac:dyDescent="0.2">
      <c r="A727" s="5">
        <v>4</v>
      </c>
      <c r="B727" s="6" t="s">
        <v>193</v>
      </c>
      <c r="C727" s="16"/>
      <c r="D727" s="16"/>
      <c r="E727" s="17">
        <f>ROUND(F728/1.1*0.1,2)</f>
        <v>759936.67</v>
      </c>
    </row>
    <row r="728" spans="1:6" ht="18.75" customHeight="1" x14ac:dyDescent="0.2">
      <c r="A728" s="10"/>
      <c r="B728" s="11" t="s">
        <v>94</v>
      </c>
      <c r="C728" s="21"/>
      <c r="D728" s="21"/>
      <c r="E728" s="17">
        <f>E694+E707+E715+E727</f>
        <v>8359303.3928039977</v>
      </c>
      <c r="F728" s="25">
        <f>E681*29.04*12</f>
        <v>8359303.3920000009</v>
      </c>
    </row>
    <row r="729" spans="1:6" ht="15" customHeight="1" x14ac:dyDescent="0.25">
      <c r="A729" s="10"/>
      <c r="B729" s="11" t="s">
        <v>199</v>
      </c>
      <c r="C729" s="21"/>
      <c r="D729" s="21"/>
      <c r="E729" s="22">
        <v>29.04</v>
      </c>
    </row>
    <row r="730" spans="1:6" ht="10.95" customHeight="1" x14ac:dyDescent="0.2"/>
    <row r="731" spans="1:6" ht="10.95" customHeight="1" x14ac:dyDescent="0.2"/>
    <row r="732" spans="1:6" ht="10.95" customHeight="1" x14ac:dyDescent="0.2"/>
    <row r="733" spans="1:6" ht="15" customHeight="1" x14ac:dyDescent="0.25">
      <c r="B733" s="12" t="s">
        <v>96</v>
      </c>
    </row>
    <row r="734" spans="1:6" ht="12" customHeight="1" x14ac:dyDescent="0.2"/>
    <row r="735" spans="1:6" ht="13.2" customHeight="1" x14ac:dyDescent="0.25">
      <c r="B735" s="3" t="s">
        <v>97</v>
      </c>
    </row>
    <row r="736" spans="1:6" ht="7.95" customHeight="1" x14ac:dyDescent="0.2"/>
    <row r="737" spans="1:5" ht="12" customHeight="1" x14ac:dyDescent="0.25">
      <c r="B737" s="41" t="s">
        <v>100</v>
      </c>
      <c r="C737" s="41"/>
      <c r="D737" s="41"/>
      <c r="E737" s="41"/>
    </row>
    <row r="738" spans="1:5" ht="10.95" customHeight="1" x14ac:dyDescent="0.2"/>
    <row r="739" spans="1:5" ht="10.95" customHeight="1" x14ac:dyDescent="0.2"/>
    <row r="740" spans="1:5" ht="10.95" customHeight="1" x14ac:dyDescent="0.2"/>
    <row r="741" spans="1:5" ht="16.2" customHeight="1" x14ac:dyDescent="0.2">
      <c r="A741" s="39" t="s">
        <v>0</v>
      </c>
      <c r="B741" s="39"/>
      <c r="C741" s="39"/>
      <c r="D741" s="39"/>
      <c r="E741" s="39"/>
    </row>
    <row r="742" spans="1:5" ht="10.95" customHeight="1" x14ac:dyDescent="0.2">
      <c r="A742" s="40" t="s">
        <v>1</v>
      </c>
      <c r="B742" s="40"/>
      <c r="C742" s="40"/>
      <c r="D742" s="40"/>
      <c r="E742" s="40"/>
    </row>
    <row r="743" spans="1:5" ht="13.2" customHeight="1" x14ac:dyDescent="0.2">
      <c r="A743" s="40" t="s">
        <v>198</v>
      </c>
      <c r="B743" s="40"/>
      <c r="C743" s="40"/>
      <c r="D743" s="40"/>
      <c r="E743" s="40"/>
    </row>
    <row r="744" spans="1:5" ht="10.95" customHeight="1" x14ac:dyDescent="0.2"/>
    <row r="745" spans="1:5" ht="10.95" customHeight="1" x14ac:dyDescent="0.2">
      <c r="C745" s="42" t="s">
        <v>3</v>
      </c>
      <c r="D745" s="42"/>
      <c r="E745" s="42"/>
    </row>
    <row r="746" spans="1:5" ht="12" customHeight="1" x14ac:dyDescent="0.2">
      <c r="D746" s="26" t="s">
        <v>4</v>
      </c>
      <c r="E746" s="24">
        <v>10479.9</v>
      </c>
    </row>
    <row r="747" spans="1:5" ht="12" customHeight="1" x14ac:dyDescent="0.2">
      <c r="D747" s="26" t="s">
        <v>5</v>
      </c>
      <c r="E747" s="23">
        <v>0</v>
      </c>
    </row>
    <row r="748" spans="1:5" ht="12" customHeight="1" x14ac:dyDescent="0.2">
      <c r="D748" s="26" t="s">
        <v>6</v>
      </c>
      <c r="E748" s="30">
        <v>6</v>
      </c>
    </row>
    <row r="749" spans="1:5" ht="12" customHeight="1" x14ac:dyDescent="0.2">
      <c r="D749" s="26" t="s">
        <v>7</v>
      </c>
      <c r="E749" s="30">
        <v>9</v>
      </c>
    </row>
    <row r="750" spans="1:5" ht="12" customHeight="1" x14ac:dyDescent="0.2">
      <c r="D750" s="26" t="s">
        <v>8</v>
      </c>
      <c r="E750" s="30">
        <v>216</v>
      </c>
    </row>
    <row r="751" spans="1:5" ht="12" customHeight="1" x14ac:dyDescent="0.2">
      <c r="D751" s="26" t="s">
        <v>9</v>
      </c>
      <c r="E751" s="30">
        <v>564</v>
      </c>
    </row>
    <row r="752" spans="1:5" ht="12" customHeight="1" x14ac:dyDescent="0.2">
      <c r="D752" s="26" t="s">
        <v>10</v>
      </c>
      <c r="E752" s="30">
        <v>6</v>
      </c>
    </row>
    <row r="753" spans="1:6" ht="12" customHeight="1" x14ac:dyDescent="0.2">
      <c r="D753" s="26" t="s">
        <v>11</v>
      </c>
      <c r="E753" s="30">
        <v>0</v>
      </c>
    </row>
    <row r="754" spans="1:6" ht="12" customHeight="1" x14ac:dyDescent="0.2">
      <c r="D754" s="26" t="s">
        <v>12</v>
      </c>
      <c r="E754" s="30">
        <v>0</v>
      </c>
    </row>
    <row r="755" spans="1:6" ht="12" customHeight="1" x14ac:dyDescent="0.2">
      <c r="D755" s="26" t="s">
        <v>13</v>
      </c>
      <c r="E755" s="30">
        <v>1096</v>
      </c>
    </row>
    <row r="756" spans="1:6" ht="12" customHeight="1" x14ac:dyDescent="0.25">
      <c r="A756" s="2" t="s">
        <v>14</v>
      </c>
      <c r="B756" s="3" t="s">
        <v>113</v>
      </c>
    </row>
    <row r="757" spans="1:6" ht="10.95" customHeight="1" x14ac:dyDescent="0.2"/>
    <row r="758" spans="1:6" ht="45" customHeight="1" x14ac:dyDescent="0.2">
      <c r="A758" s="4" t="s">
        <v>15</v>
      </c>
      <c r="B758" s="4" t="s">
        <v>131</v>
      </c>
      <c r="C758" s="27" t="s">
        <v>17</v>
      </c>
      <c r="D758" s="27" t="s">
        <v>103</v>
      </c>
      <c r="E758" s="27" t="s">
        <v>19</v>
      </c>
    </row>
    <row r="759" spans="1:6" ht="31.5" customHeight="1" x14ac:dyDescent="0.2">
      <c r="A759" s="5">
        <v>1</v>
      </c>
      <c r="B759" s="6" t="s">
        <v>190</v>
      </c>
      <c r="C759" s="16"/>
      <c r="D759" s="16"/>
      <c r="E759" s="17">
        <f>E760+E767</f>
        <v>1997688.3880000003</v>
      </c>
    </row>
    <row r="760" spans="1:6" ht="15" customHeight="1" x14ac:dyDescent="0.2">
      <c r="A760" s="7" t="s">
        <v>21</v>
      </c>
      <c r="B760" s="6" t="s">
        <v>132</v>
      </c>
      <c r="C760" s="16"/>
      <c r="D760" s="16"/>
      <c r="E760" s="17">
        <f>SUM(E761:E766)</f>
        <v>783086.56200000003</v>
      </c>
    </row>
    <row r="761" spans="1:6" ht="11.25" customHeight="1" x14ac:dyDescent="0.2">
      <c r="A761" s="15" t="s">
        <v>23</v>
      </c>
      <c r="B761" s="9" t="s">
        <v>34</v>
      </c>
      <c r="C761" s="16">
        <v>1.25</v>
      </c>
      <c r="D761" s="16">
        <v>18781</v>
      </c>
      <c r="E761" s="19">
        <f>ROUND(C761*D761,2)*12</f>
        <v>281715</v>
      </c>
      <c r="F761" s="20"/>
    </row>
    <row r="762" spans="1:6" ht="11.25" customHeight="1" x14ac:dyDescent="0.2">
      <c r="A762" s="8" t="s">
        <v>31</v>
      </c>
      <c r="B762" s="9" t="s">
        <v>36</v>
      </c>
      <c r="C762" s="16">
        <v>1.32</v>
      </c>
      <c r="D762" s="16">
        <v>18781</v>
      </c>
      <c r="E762" s="19">
        <f>ROUND(C762*D762,2)*12</f>
        <v>297491.03999999998</v>
      </c>
    </row>
    <row r="763" spans="1:6" ht="11.25" customHeight="1" x14ac:dyDescent="0.2">
      <c r="A763" s="8" t="s">
        <v>121</v>
      </c>
      <c r="B763" s="9" t="s">
        <v>38</v>
      </c>
      <c r="C763" s="16">
        <v>30.2</v>
      </c>
      <c r="D763" s="16">
        <f>E761</f>
        <v>281715</v>
      </c>
      <c r="E763" s="19">
        <f>ROUND(C763*D763/100,2)</f>
        <v>85077.93</v>
      </c>
    </row>
    <row r="764" spans="1:6" ht="11.25" customHeight="1" x14ac:dyDescent="0.2">
      <c r="A764" s="8" t="s">
        <v>186</v>
      </c>
      <c r="B764" s="9" t="s">
        <v>40</v>
      </c>
      <c r="C764" s="16">
        <v>30.2</v>
      </c>
      <c r="D764" s="16">
        <f>E762</f>
        <v>297491.03999999998</v>
      </c>
      <c r="E764" s="19">
        <f>ROUND(C764*D764/100,2)</f>
        <v>89842.29</v>
      </c>
    </row>
    <row r="765" spans="1:6" ht="11.25" customHeight="1" x14ac:dyDescent="0.2">
      <c r="A765" s="8" t="s">
        <v>187</v>
      </c>
      <c r="B765" s="9" t="s">
        <v>42</v>
      </c>
      <c r="C765" s="16"/>
      <c r="D765" s="16"/>
      <c r="E765" s="19">
        <f>E761*0.05</f>
        <v>14085.75</v>
      </c>
    </row>
    <row r="766" spans="1:6" ht="11.25" customHeight="1" x14ac:dyDescent="0.2">
      <c r="A766" s="8" t="s">
        <v>188</v>
      </c>
      <c r="B766" s="9" t="s">
        <v>44</v>
      </c>
      <c r="C766" s="16"/>
      <c r="D766" s="16"/>
      <c r="E766" s="19">
        <f>E762*0.05</f>
        <v>14874.552</v>
      </c>
    </row>
    <row r="767" spans="1:6" ht="15" customHeight="1" x14ac:dyDescent="0.2">
      <c r="A767" s="7" t="s">
        <v>45</v>
      </c>
      <c r="B767" s="6" t="s">
        <v>189</v>
      </c>
      <c r="C767" s="16"/>
      <c r="D767" s="16"/>
      <c r="E767" s="17">
        <f>E768+E769+E770+E771</f>
        <v>1214601.8260000001</v>
      </c>
    </row>
    <row r="768" spans="1:6" ht="11.25" customHeight="1" x14ac:dyDescent="0.2">
      <c r="A768" s="8" t="s">
        <v>47</v>
      </c>
      <c r="B768" s="9" t="s">
        <v>48</v>
      </c>
      <c r="C768" s="16">
        <v>2.91</v>
      </c>
      <c r="D768" s="16">
        <v>18781</v>
      </c>
      <c r="E768" s="19">
        <f>ROUND(C768*D768,2)*12</f>
        <v>655832.52</v>
      </c>
      <c r="F768" s="20"/>
    </row>
    <row r="769" spans="1:5" ht="11.25" customHeight="1" x14ac:dyDescent="0.2">
      <c r="A769" s="8" t="s">
        <v>49</v>
      </c>
      <c r="B769" s="9" t="s">
        <v>50</v>
      </c>
      <c r="C769" s="16">
        <v>30.2</v>
      </c>
      <c r="D769" s="16">
        <f>E768</f>
        <v>655832.52</v>
      </c>
      <c r="E769" s="19">
        <f>ROUND(C769*D769/100,2)</f>
        <v>198061.42</v>
      </c>
    </row>
    <row r="770" spans="1:5" ht="11.25" customHeight="1" x14ac:dyDescent="0.2">
      <c r="A770" s="8" t="s">
        <v>51</v>
      </c>
      <c r="B770" s="9" t="s">
        <v>52</v>
      </c>
      <c r="C770" s="16"/>
      <c r="D770" s="16"/>
      <c r="E770" s="19">
        <f>E768*0.5</f>
        <v>327916.26</v>
      </c>
    </row>
    <row r="771" spans="1:5" ht="11.25" customHeight="1" x14ac:dyDescent="0.2">
      <c r="A771" s="8" t="s">
        <v>53</v>
      </c>
      <c r="B771" s="9" t="s">
        <v>54</v>
      </c>
      <c r="C771" s="16"/>
      <c r="D771" s="16"/>
      <c r="E771" s="19">
        <f>E768*0.05</f>
        <v>32791.626000000004</v>
      </c>
    </row>
    <row r="772" spans="1:5" ht="20.100000000000001" customHeight="1" x14ac:dyDescent="0.2">
      <c r="A772" s="5">
        <v>2</v>
      </c>
      <c r="B772" s="6" t="s">
        <v>57</v>
      </c>
      <c r="C772" s="16"/>
      <c r="D772" s="16"/>
      <c r="E772" s="17">
        <f>E773+E775+E776+E777+E778+E779+E774</f>
        <v>871556.07</v>
      </c>
    </row>
    <row r="773" spans="1:5" ht="11.25" customHeight="1" x14ac:dyDescent="0.2">
      <c r="A773" s="35" t="s">
        <v>58</v>
      </c>
      <c r="B773" s="9" t="s">
        <v>204</v>
      </c>
      <c r="C773" s="16">
        <v>817.8</v>
      </c>
      <c r="D773" s="16">
        <f>E773/C773</f>
        <v>177.97000489117144</v>
      </c>
      <c r="E773" s="19">
        <v>145543.87</v>
      </c>
    </row>
    <row r="774" spans="1:5" ht="11.25" customHeight="1" x14ac:dyDescent="0.2">
      <c r="A774" s="35" t="s">
        <v>60</v>
      </c>
      <c r="B774" s="9" t="s">
        <v>195</v>
      </c>
      <c r="C774" s="16">
        <v>817.8</v>
      </c>
      <c r="D774" s="16">
        <f>E774/C774</f>
        <v>219.63343115676207</v>
      </c>
      <c r="E774" s="19">
        <v>179616.22</v>
      </c>
    </row>
    <row r="775" spans="1:5" ht="11.25" customHeight="1" x14ac:dyDescent="0.2">
      <c r="A775" s="35" t="s">
        <v>62</v>
      </c>
      <c r="B775" s="9" t="s">
        <v>196</v>
      </c>
      <c r="C775" s="16">
        <v>259.44</v>
      </c>
      <c r="D775" s="16">
        <f>E775/C775</f>
        <v>848.40124884366332</v>
      </c>
      <c r="E775" s="19">
        <v>220109.22</v>
      </c>
    </row>
    <row r="776" spans="1:5" ht="11.25" customHeight="1" x14ac:dyDescent="0.2">
      <c r="A776" s="35" t="s">
        <v>64</v>
      </c>
      <c r="B776" s="9" t="s">
        <v>63</v>
      </c>
      <c r="C776" s="16">
        <f>E776/D776</f>
        <v>29480.376599634372</v>
      </c>
      <c r="D776" s="16">
        <v>5.47</v>
      </c>
      <c r="E776" s="19">
        <f>164100+6815.97-9658.31</f>
        <v>161257.66</v>
      </c>
    </row>
    <row r="777" spans="1:5" ht="11.25" customHeight="1" x14ac:dyDescent="0.2">
      <c r="A777" s="35" t="s">
        <v>66</v>
      </c>
      <c r="B777" s="9" t="s">
        <v>65</v>
      </c>
      <c r="C777" s="16">
        <f>E777/D777</f>
        <v>1952.0350902951106</v>
      </c>
      <c r="D777" s="16">
        <v>68.11</v>
      </c>
      <c r="E777" s="19">
        <v>132953.10999999999</v>
      </c>
    </row>
    <row r="778" spans="1:5" ht="11.25" customHeight="1" x14ac:dyDescent="0.2">
      <c r="A778" s="35" t="s">
        <v>68</v>
      </c>
      <c r="B778" s="9" t="s">
        <v>69</v>
      </c>
      <c r="C778" s="16">
        <v>1603.2</v>
      </c>
      <c r="D778" s="16">
        <f>E778/C778</f>
        <v>3.35</v>
      </c>
      <c r="E778" s="19">
        <v>5370.72</v>
      </c>
    </row>
    <row r="779" spans="1:5" ht="11.25" customHeight="1" x14ac:dyDescent="0.2">
      <c r="A779" s="35" t="s">
        <v>70</v>
      </c>
      <c r="B779" s="9" t="s">
        <v>71</v>
      </c>
      <c r="C779" s="16">
        <v>142.02000000000001</v>
      </c>
      <c r="D779" s="16">
        <f>E779/C779</f>
        <v>188.03879735248555</v>
      </c>
      <c r="E779" s="19">
        <v>26705.27</v>
      </c>
    </row>
    <row r="780" spans="1:5" ht="20.100000000000001" customHeight="1" x14ac:dyDescent="0.2">
      <c r="A780" s="5">
        <v>3</v>
      </c>
      <c r="B780" s="6" t="s">
        <v>72</v>
      </c>
      <c r="C780" s="16"/>
      <c r="D780" s="16"/>
      <c r="E780" s="17">
        <f>E781+E782+E783+E784+E785+E786+E787+E788+E789+E791+E790</f>
        <v>450787.86576079961</v>
      </c>
    </row>
    <row r="781" spans="1:5" ht="11.25" customHeight="1" x14ac:dyDescent="0.2">
      <c r="A781" s="8" t="s">
        <v>73</v>
      </c>
      <c r="B781" s="9" t="s">
        <v>74</v>
      </c>
      <c r="C781" s="34">
        <v>6</v>
      </c>
      <c r="D781" s="16">
        <f>E781/C781/12</f>
        <v>3192.7319444444443</v>
      </c>
      <c r="E781" s="19">
        <v>229876.7</v>
      </c>
    </row>
    <row r="782" spans="1:5" ht="11.25" customHeight="1" x14ac:dyDescent="0.2">
      <c r="A782" s="8" t="s">
        <v>75</v>
      </c>
      <c r="B782" s="9" t="s">
        <v>76</v>
      </c>
      <c r="C782" s="16"/>
      <c r="D782" s="16"/>
      <c r="E782" s="19">
        <v>0</v>
      </c>
    </row>
    <row r="783" spans="1:5" ht="11.25" customHeight="1" x14ac:dyDescent="0.2">
      <c r="A783" s="8" t="s">
        <v>77</v>
      </c>
      <c r="B783" s="9" t="s">
        <v>78</v>
      </c>
      <c r="C783" s="16"/>
      <c r="D783" s="16"/>
      <c r="E783" s="19">
        <v>0</v>
      </c>
    </row>
    <row r="784" spans="1:5" ht="11.25" customHeight="1" x14ac:dyDescent="0.2">
      <c r="A784" s="8" t="s">
        <v>79</v>
      </c>
      <c r="B784" s="9" t="s">
        <v>80</v>
      </c>
      <c r="C784" s="16">
        <v>10479.9</v>
      </c>
      <c r="D784" s="16">
        <f>E784/C784</f>
        <v>4.150069180049428</v>
      </c>
      <c r="E784" s="19">
        <v>43492.31</v>
      </c>
    </row>
    <row r="785" spans="1:6" ht="11.25" customHeight="1" x14ac:dyDescent="0.2">
      <c r="A785" s="8" t="s">
        <v>81</v>
      </c>
      <c r="B785" s="9" t="s">
        <v>82</v>
      </c>
      <c r="C785" s="34">
        <v>432</v>
      </c>
      <c r="D785" s="16">
        <f>E785/C785</f>
        <v>71.676481481481488</v>
      </c>
      <c r="E785" s="19">
        <v>30964.240000000002</v>
      </c>
    </row>
    <row r="786" spans="1:6" ht="11.25" customHeight="1" x14ac:dyDescent="0.2">
      <c r="A786" s="8" t="s">
        <v>83</v>
      </c>
      <c r="B786" s="9" t="s">
        <v>194</v>
      </c>
      <c r="C786" s="34">
        <v>216</v>
      </c>
      <c r="D786" s="16">
        <f>E786/C786</f>
        <v>86.203194444444435</v>
      </c>
      <c r="E786" s="19">
        <v>18619.89</v>
      </c>
    </row>
    <row r="787" spans="1:6" ht="11.25" customHeight="1" x14ac:dyDescent="0.2">
      <c r="A787" s="8" t="s">
        <v>85</v>
      </c>
      <c r="B787" s="9" t="s">
        <v>86</v>
      </c>
      <c r="C787" s="34"/>
      <c r="D787" s="16"/>
      <c r="E787" s="19">
        <v>0</v>
      </c>
    </row>
    <row r="788" spans="1:6" ht="11.25" customHeight="1" x14ac:dyDescent="0.2">
      <c r="A788" s="8" t="s">
        <v>87</v>
      </c>
      <c r="B788" s="9" t="s">
        <v>88</v>
      </c>
      <c r="C788" s="34">
        <v>215</v>
      </c>
      <c r="D788" s="16">
        <f>E788/C788</f>
        <v>523.26190697674417</v>
      </c>
      <c r="E788" s="19">
        <v>112501.31</v>
      </c>
    </row>
    <row r="789" spans="1:6" ht="11.25" customHeight="1" x14ac:dyDescent="0.2">
      <c r="A789" s="8" t="s">
        <v>89</v>
      </c>
      <c r="B789" s="9" t="s">
        <v>90</v>
      </c>
      <c r="C789" s="16"/>
      <c r="D789" s="16"/>
      <c r="E789" s="19">
        <v>0</v>
      </c>
    </row>
    <row r="790" spans="1:6" ht="11.25" customHeight="1" x14ac:dyDescent="0.2">
      <c r="A790" s="8" t="s">
        <v>91</v>
      </c>
      <c r="B790" s="9" t="s">
        <v>202</v>
      </c>
      <c r="C790" s="34">
        <v>6</v>
      </c>
      <c r="D790" s="16">
        <f>E790/C790</f>
        <v>2555.5692934665967</v>
      </c>
      <c r="E790" s="19">
        <f>1773.04*2*1.2+2826.16*4*1.2*0.81663515754</f>
        <v>15333.41576079958</v>
      </c>
    </row>
    <row r="791" spans="1:6" ht="11.25" customHeight="1" x14ac:dyDescent="0.2">
      <c r="A791" s="8" t="s">
        <v>203</v>
      </c>
      <c r="B791" s="9" t="s">
        <v>92</v>
      </c>
      <c r="C791" s="16"/>
      <c r="D791" s="16"/>
      <c r="E791" s="19">
        <v>0</v>
      </c>
    </row>
    <row r="792" spans="1:6" ht="15" customHeight="1" x14ac:dyDescent="0.2">
      <c r="A792" s="5">
        <v>4</v>
      </c>
      <c r="B792" s="6" t="s">
        <v>193</v>
      </c>
      <c r="C792" s="16"/>
      <c r="D792" s="16"/>
      <c r="E792" s="17">
        <f>ROUND(F793/1.1*0.1,2)</f>
        <v>332003.23</v>
      </c>
    </row>
    <row r="793" spans="1:6" ht="18.75" customHeight="1" x14ac:dyDescent="0.2">
      <c r="A793" s="10"/>
      <c r="B793" s="11" t="s">
        <v>94</v>
      </c>
      <c r="C793" s="21"/>
      <c r="D793" s="21"/>
      <c r="E793" s="17">
        <f>E759+E772+E780+E792</f>
        <v>3652035.5537607996</v>
      </c>
      <c r="F793" s="25">
        <f>E746*29.04*12</f>
        <v>3652035.5519999997</v>
      </c>
    </row>
    <row r="794" spans="1:6" ht="15" customHeight="1" x14ac:dyDescent="0.25">
      <c r="A794" s="10"/>
      <c r="B794" s="11" t="s">
        <v>199</v>
      </c>
      <c r="C794" s="21"/>
      <c r="D794" s="21"/>
      <c r="E794" s="22">
        <v>29.04</v>
      </c>
    </row>
    <row r="795" spans="1:6" ht="10.95" customHeight="1" x14ac:dyDescent="0.2"/>
    <row r="796" spans="1:6" ht="10.95" customHeight="1" x14ac:dyDescent="0.2"/>
    <row r="797" spans="1:6" ht="10.95" customHeight="1" x14ac:dyDescent="0.2"/>
    <row r="798" spans="1:6" ht="15" customHeight="1" x14ac:dyDescent="0.25">
      <c r="B798" s="12" t="s">
        <v>96</v>
      </c>
    </row>
    <row r="799" spans="1:6" ht="12" customHeight="1" x14ac:dyDescent="0.2"/>
    <row r="800" spans="1:6" ht="13.2" customHeight="1" x14ac:dyDescent="0.25">
      <c r="B800" s="3" t="s">
        <v>97</v>
      </c>
    </row>
    <row r="801" spans="1:5" ht="7.95" customHeight="1" x14ac:dyDescent="0.2"/>
    <row r="802" spans="1:5" ht="12" customHeight="1" x14ac:dyDescent="0.25">
      <c r="B802" s="41" t="s">
        <v>100</v>
      </c>
      <c r="C802" s="41"/>
      <c r="D802" s="41"/>
      <c r="E802" s="41"/>
    </row>
    <row r="803" spans="1:5" ht="10.95" customHeight="1" x14ac:dyDescent="0.2"/>
    <row r="804" spans="1:5" ht="10.95" customHeight="1" x14ac:dyDescent="0.2"/>
    <row r="805" spans="1:5" ht="10.95" customHeight="1" x14ac:dyDescent="0.2"/>
    <row r="806" spans="1:5" ht="16.2" customHeight="1" x14ac:dyDescent="0.2">
      <c r="A806" s="39" t="s">
        <v>0</v>
      </c>
      <c r="B806" s="39"/>
      <c r="C806" s="39"/>
      <c r="D806" s="39"/>
      <c r="E806" s="39"/>
    </row>
    <row r="807" spans="1:5" ht="10.95" customHeight="1" x14ac:dyDescent="0.2">
      <c r="A807" s="40" t="s">
        <v>1</v>
      </c>
      <c r="B807" s="40"/>
      <c r="C807" s="40"/>
      <c r="D807" s="40"/>
      <c r="E807" s="40"/>
    </row>
    <row r="808" spans="1:5" ht="13.2" customHeight="1" x14ac:dyDescent="0.2">
      <c r="A808" s="40" t="s">
        <v>198</v>
      </c>
      <c r="B808" s="40"/>
      <c r="C808" s="40"/>
      <c r="D808" s="40"/>
      <c r="E808" s="40"/>
    </row>
    <row r="809" spans="1:5" ht="10.95" customHeight="1" x14ac:dyDescent="0.2"/>
    <row r="810" spans="1:5" ht="10.95" customHeight="1" x14ac:dyDescent="0.2">
      <c r="C810" s="42" t="s">
        <v>3</v>
      </c>
      <c r="D810" s="42"/>
      <c r="E810" s="42"/>
    </row>
    <row r="811" spans="1:5" ht="12" customHeight="1" x14ac:dyDescent="0.2">
      <c r="D811" s="26" t="s">
        <v>4</v>
      </c>
      <c r="E811" s="24">
        <v>10569</v>
      </c>
    </row>
    <row r="812" spans="1:5" ht="12" customHeight="1" x14ac:dyDescent="0.2">
      <c r="D812" s="26" t="s">
        <v>5</v>
      </c>
      <c r="E812" s="23">
        <v>0</v>
      </c>
    </row>
    <row r="813" spans="1:5" ht="12" customHeight="1" x14ac:dyDescent="0.2">
      <c r="D813" s="26" t="s">
        <v>6</v>
      </c>
      <c r="E813" s="30">
        <v>6</v>
      </c>
    </row>
    <row r="814" spans="1:5" ht="12" customHeight="1" x14ac:dyDescent="0.2">
      <c r="D814" s="26" t="s">
        <v>7</v>
      </c>
      <c r="E814" s="30">
        <v>9</v>
      </c>
    </row>
    <row r="815" spans="1:5" ht="12" customHeight="1" x14ac:dyDescent="0.2">
      <c r="D815" s="26" t="s">
        <v>8</v>
      </c>
      <c r="E815" s="30">
        <v>216</v>
      </c>
    </row>
    <row r="816" spans="1:5" ht="12" customHeight="1" x14ac:dyDescent="0.2">
      <c r="D816" s="26" t="s">
        <v>9</v>
      </c>
      <c r="E816" s="30">
        <v>534</v>
      </c>
    </row>
    <row r="817" spans="1:6" ht="12" customHeight="1" x14ac:dyDescent="0.2">
      <c r="D817" s="26" t="s">
        <v>10</v>
      </c>
      <c r="E817" s="30">
        <v>6</v>
      </c>
    </row>
    <row r="818" spans="1:6" ht="12" customHeight="1" x14ac:dyDescent="0.2">
      <c r="D818" s="26" t="s">
        <v>11</v>
      </c>
      <c r="E818" s="30">
        <v>0</v>
      </c>
    </row>
    <row r="819" spans="1:6" ht="12" customHeight="1" x14ac:dyDescent="0.2">
      <c r="D819" s="26" t="s">
        <v>12</v>
      </c>
      <c r="E819" s="30">
        <v>0</v>
      </c>
    </row>
    <row r="820" spans="1:6" ht="12" customHeight="1" x14ac:dyDescent="0.2">
      <c r="D820" s="26" t="s">
        <v>13</v>
      </c>
      <c r="E820" s="30">
        <v>1068</v>
      </c>
    </row>
    <row r="821" spans="1:6" ht="12" customHeight="1" x14ac:dyDescent="0.25">
      <c r="A821" s="2" t="s">
        <v>14</v>
      </c>
      <c r="B821" s="3" t="s">
        <v>114</v>
      </c>
    </row>
    <row r="822" spans="1:6" ht="10.95" customHeight="1" x14ac:dyDescent="0.2"/>
    <row r="823" spans="1:6" ht="45" customHeight="1" x14ac:dyDescent="0.2">
      <c r="A823" s="4" t="s">
        <v>15</v>
      </c>
      <c r="B823" s="4" t="s">
        <v>131</v>
      </c>
      <c r="C823" s="27" t="s">
        <v>17</v>
      </c>
      <c r="D823" s="27" t="s">
        <v>103</v>
      </c>
      <c r="E823" s="27" t="s">
        <v>19</v>
      </c>
    </row>
    <row r="824" spans="1:6" ht="31.5" customHeight="1" x14ac:dyDescent="0.2">
      <c r="A824" s="5">
        <v>1</v>
      </c>
      <c r="B824" s="6" t="s">
        <v>190</v>
      </c>
      <c r="C824" s="16"/>
      <c r="D824" s="16"/>
      <c r="E824" s="17">
        <f>E825+E832</f>
        <v>2027843.1660000002</v>
      </c>
    </row>
    <row r="825" spans="1:6" ht="15" customHeight="1" x14ac:dyDescent="0.2">
      <c r="A825" s="7" t="s">
        <v>21</v>
      </c>
      <c r="B825" s="6" t="s">
        <v>132</v>
      </c>
      <c r="C825" s="16"/>
      <c r="D825" s="16"/>
      <c r="E825" s="17">
        <f>SUM(E826:E831)</f>
        <v>780449.7139999998</v>
      </c>
    </row>
    <row r="826" spans="1:6" ht="11.25" customHeight="1" x14ac:dyDescent="0.2">
      <c r="A826" s="15" t="s">
        <v>23</v>
      </c>
      <c r="B826" s="9" t="s">
        <v>34</v>
      </c>
      <c r="C826" s="16">
        <v>1.22</v>
      </c>
      <c r="D826" s="16">
        <v>18781</v>
      </c>
      <c r="E826" s="19">
        <f>ROUND(C826*D826,2)*12</f>
        <v>274953.83999999997</v>
      </c>
      <c r="F826" s="20"/>
    </row>
    <row r="827" spans="1:6" ht="11.25" customHeight="1" x14ac:dyDescent="0.2">
      <c r="A827" s="8" t="s">
        <v>31</v>
      </c>
      <c r="B827" s="9" t="s">
        <v>36</v>
      </c>
      <c r="C827" s="16">
        <v>1.25</v>
      </c>
      <c r="D827" s="16">
        <v>18781</v>
      </c>
      <c r="E827" s="19">
        <f>ROUND(C827*D827,2)*12</f>
        <v>281715</v>
      </c>
    </row>
    <row r="828" spans="1:6" ht="11.25" customHeight="1" x14ac:dyDescent="0.2">
      <c r="A828" s="8" t="s">
        <v>121</v>
      </c>
      <c r="B828" s="9" t="s">
        <v>38</v>
      </c>
      <c r="C828" s="16">
        <v>30.2</v>
      </c>
      <c r="D828" s="16">
        <f>E826</f>
        <v>274953.83999999997</v>
      </c>
      <c r="E828" s="19">
        <f>ROUND(C828*D828/100,2)</f>
        <v>83036.06</v>
      </c>
    </row>
    <row r="829" spans="1:6" ht="11.25" customHeight="1" x14ac:dyDescent="0.2">
      <c r="A829" s="8" t="s">
        <v>186</v>
      </c>
      <c r="B829" s="9" t="s">
        <v>40</v>
      </c>
      <c r="C829" s="16">
        <v>30.2</v>
      </c>
      <c r="D829" s="16">
        <f>E827</f>
        <v>281715</v>
      </c>
      <c r="E829" s="19">
        <f>ROUND(C829*D829/100,2)</f>
        <v>85077.93</v>
      </c>
    </row>
    <row r="830" spans="1:6" ht="11.25" customHeight="1" x14ac:dyDescent="0.2">
      <c r="A830" s="8" t="s">
        <v>187</v>
      </c>
      <c r="B830" s="9" t="s">
        <v>42</v>
      </c>
      <c r="C830" s="16"/>
      <c r="D830" s="16"/>
      <c r="E830" s="19">
        <f>E826*0.1</f>
        <v>27495.383999999998</v>
      </c>
    </row>
    <row r="831" spans="1:6" ht="11.25" customHeight="1" x14ac:dyDescent="0.2">
      <c r="A831" s="8" t="s">
        <v>188</v>
      </c>
      <c r="B831" s="9" t="s">
        <v>44</v>
      </c>
      <c r="C831" s="16"/>
      <c r="D831" s="16"/>
      <c r="E831" s="19">
        <f>E827*0.1</f>
        <v>28171.5</v>
      </c>
    </row>
    <row r="832" spans="1:6" ht="15" customHeight="1" x14ac:dyDescent="0.2">
      <c r="A832" s="7" t="s">
        <v>45</v>
      </c>
      <c r="B832" s="6" t="s">
        <v>189</v>
      </c>
      <c r="C832" s="16"/>
      <c r="D832" s="16"/>
      <c r="E832" s="17">
        <f>E833+E834+E835+E836</f>
        <v>1247393.4520000003</v>
      </c>
    </row>
    <row r="833" spans="1:6" ht="11.25" customHeight="1" x14ac:dyDescent="0.2">
      <c r="A833" s="8" t="s">
        <v>47</v>
      </c>
      <c r="B833" s="9" t="s">
        <v>48</v>
      </c>
      <c r="C833" s="16">
        <v>2.91</v>
      </c>
      <c r="D833" s="16">
        <v>18781</v>
      </c>
      <c r="E833" s="19">
        <f>ROUND(C833*D833,2)*12</f>
        <v>655832.52</v>
      </c>
      <c r="F833" s="20"/>
    </row>
    <row r="834" spans="1:6" ht="11.25" customHeight="1" x14ac:dyDescent="0.2">
      <c r="A834" s="8" t="s">
        <v>49</v>
      </c>
      <c r="B834" s="9" t="s">
        <v>50</v>
      </c>
      <c r="C834" s="16">
        <v>30.2</v>
      </c>
      <c r="D834" s="16">
        <f>E833</f>
        <v>655832.52</v>
      </c>
      <c r="E834" s="19">
        <f>ROUND(C834*D834/100,2)</f>
        <v>198061.42</v>
      </c>
    </row>
    <row r="835" spans="1:6" ht="11.25" customHeight="1" x14ac:dyDescent="0.2">
      <c r="A835" s="8" t="s">
        <v>51</v>
      </c>
      <c r="B835" s="9" t="s">
        <v>52</v>
      </c>
      <c r="C835" s="16"/>
      <c r="D835" s="16"/>
      <c r="E835" s="19">
        <f>E833*0.5</f>
        <v>327916.26</v>
      </c>
    </row>
    <row r="836" spans="1:6" ht="11.25" customHeight="1" x14ac:dyDescent="0.2">
      <c r="A836" s="8" t="s">
        <v>53</v>
      </c>
      <c r="B836" s="9" t="s">
        <v>54</v>
      </c>
      <c r="C836" s="16"/>
      <c r="D836" s="16"/>
      <c r="E836" s="19">
        <f>E833*0.1</f>
        <v>65583.252000000008</v>
      </c>
    </row>
    <row r="837" spans="1:6" ht="20.100000000000001" customHeight="1" x14ac:dyDescent="0.2">
      <c r="A837" s="5">
        <v>2</v>
      </c>
      <c r="B837" s="6" t="s">
        <v>57</v>
      </c>
      <c r="C837" s="16"/>
      <c r="D837" s="16"/>
      <c r="E837" s="17">
        <f>E838+E840+E841+E842+E843+E844+E839</f>
        <v>867342.92000000016</v>
      </c>
    </row>
    <row r="838" spans="1:6" ht="11.25" customHeight="1" x14ac:dyDescent="0.2">
      <c r="A838" s="35" t="s">
        <v>58</v>
      </c>
      <c r="B838" s="9" t="s">
        <v>204</v>
      </c>
      <c r="C838" s="16">
        <v>774.3</v>
      </c>
      <c r="D838" s="16">
        <f>E838/C838</f>
        <v>177.96999870851093</v>
      </c>
      <c r="E838" s="19">
        <v>137802.17000000001</v>
      </c>
    </row>
    <row r="839" spans="1:6" ht="11.25" customHeight="1" x14ac:dyDescent="0.2">
      <c r="A839" s="35" t="s">
        <v>60</v>
      </c>
      <c r="B839" s="9" t="s">
        <v>195</v>
      </c>
      <c r="C839" s="16">
        <v>774.3</v>
      </c>
      <c r="D839" s="16">
        <f>E839/C839</f>
        <v>219.63343665246032</v>
      </c>
      <c r="E839" s="19">
        <v>170062.17</v>
      </c>
    </row>
    <row r="840" spans="1:6" ht="11.25" customHeight="1" x14ac:dyDescent="0.2">
      <c r="A840" s="35" t="s">
        <v>62</v>
      </c>
      <c r="B840" s="9" t="s">
        <v>196</v>
      </c>
      <c r="C840" s="16">
        <v>245.64</v>
      </c>
      <c r="D840" s="16">
        <f>E840/C840</f>
        <v>848.40123758345555</v>
      </c>
      <c r="E840" s="19">
        <v>208401.28</v>
      </c>
    </row>
    <row r="841" spans="1:6" ht="11.25" customHeight="1" x14ac:dyDescent="0.2">
      <c r="A841" s="35" t="s">
        <v>64</v>
      </c>
      <c r="B841" s="9" t="s">
        <v>63</v>
      </c>
      <c r="C841" s="16">
        <f>E841/D841</f>
        <v>35396.338208409506</v>
      </c>
      <c r="D841" s="16">
        <v>5.47</v>
      </c>
      <c r="E841" s="19">
        <f>164100+29517.97</f>
        <v>193617.97</v>
      </c>
    </row>
    <row r="842" spans="1:6" ht="11.25" customHeight="1" x14ac:dyDescent="0.2">
      <c r="A842" s="35" t="s">
        <v>66</v>
      </c>
      <c r="B842" s="9" t="s">
        <v>65</v>
      </c>
      <c r="C842" s="16">
        <f>E842/D842</f>
        <v>1841.8981060049921</v>
      </c>
      <c r="D842" s="16">
        <v>68.11</v>
      </c>
      <c r="E842" s="19">
        <f>104650.99+20800.69</f>
        <v>125451.68000000001</v>
      </c>
    </row>
    <row r="843" spans="1:6" ht="11.25" customHeight="1" x14ac:dyDescent="0.2">
      <c r="A843" s="35" t="s">
        <v>68</v>
      </c>
      <c r="B843" s="9" t="s">
        <v>69</v>
      </c>
      <c r="C843" s="16">
        <v>1582.8</v>
      </c>
      <c r="D843" s="16">
        <f>E843/C843</f>
        <v>3.35</v>
      </c>
      <c r="E843" s="19">
        <v>5302.38</v>
      </c>
    </row>
    <row r="844" spans="1:6" ht="11.25" customHeight="1" x14ac:dyDescent="0.2">
      <c r="A844" s="35" t="s">
        <v>70</v>
      </c>
      <c r="B844" s="9" t="s">
        <v>71</v>
      </c>
      <c r="C844" s="16">
        <v>142.02000000000001</v>
      </c>
      <c r="D844" s="16">
        <f>E844/C844</f>
        <v>188.03879735248555</v>
      </c>
      <c r="E844" s="19">
        <v>26705.27</v>
      </c>
    </row>
    <row r="845" spans="1:6" ht="20.100000000000001" customHeight="1" x14ac:dyDescent="0.2">
      <c r="A845" s="5">
        <v>3</v>
      </c>
      <c r="B845" s="6" t="s">
        <v>72</v>
      </c>
      <c r="C845" s="16"/>
      <c r="D845" s="16"/>
      <c r="E845" s="17">
        <f>E846+E847+E848+E849+E850+E851+E852+E853+E854+E856+E855</f>
        <v>453073.10964119941</v>
      </c>
    </row>
    <row r="846" spans="1:6" ht="11.25" customHeight="1" x14ac:dyDescent="0.2">
      <c r="A846" s="8" t="s">
        <v>73</v>
      </c>
      <c r="B846" s="9" t="s">
        <v>74</v>
      </c>
      <c r="C846" s="34">
        <v>6</v>
      </c>
      <c r="D846" s="16">
        <f>E846/C846/12</f>
        <v>3192.7319444444443</v>
      </c>
      <c r="E846" s="19">
        <v>229876.7</v>
      </c>
    </row>
    <row r="847" spans="1:6" ht="11.25" customHeight="1" x14ac:dyDescent="0.2">
      <c r="A847" s="8" t="s">
        <v>75</v>
      </c>
      <c r="B847" s="9" t="s">
        <v>76</v>
      </c>
      <c r="C847" s="16"/>
      <c r="D847" s="16"/>
      <c r="E847" s="19">
        <v>0</v>
      </c>
    </row>
    <row r="848" spans="1:6" ht="11.25" customHeight="1" x14ac:dyDescent="0.2">
      <c r="A848" s="8" t="s">
        <v>77</v>
      </c>
      <c r="B848" s="9" t="s">
        <v>78</v>
      </c>
      <c r="C848" s="16"/>
      <c r="D848" s="16"/>
      <c r="E848" s="19">
        <v>0</v>
      </c>
    </row>
    <row r="849" spans="1:6" ht="11.25" customHeight="1" x14ac:dyDescent="0.2">
      <c r="A849" s="8" t="s">
        <v>79</v>
      </c>
      <c r="B849" s="9" t="s">
        <v>80</v>
      </c>
      <c r="C849" s="16">
        <f>E811</f>
        <v>10569</v>
      </c>
      <c r="D849" s="16">
        <f>E849/C849</f>
        <v>4.1500690699214688</v>
      </c>
      <c r="E849" s="19">
        <v>43862.080000000002</v>
      </c>
    </row>
    <row r="850" spans="1:6" ht="11.25" customHeight="1" x14ac:dyDescent="0.2">
      <c r="A850" s="8" t="s">
        <v>81</v>
      </c>
      <c r="B850" s="9" t="s">
        <v>82</v>
      </c>
      <c r="C850" s="34">
        <v>432</v>
      </c>
      <c r="D850" s="16">
        <f>E850/C850</f>
        <v>71.676481481481488</v>
      </c>
      <c r="E850" s="19">
        <v>30964.240000000002</v>
      </c>
    </row>
    <row r="851" spans="1:6" ht="11.25" customHeight="1" x14ac:dyDescent="0.2">
      <c r="A851" s="8" t="s">
        <v>83</v>
      </c>
      <c r="B851" s="9" t="s">
        <v>194</v>
      </c>
      <c r="C851" s="34">
        <v>216</v>
      </c>
      <c r="D851" s="16">
        <f>E851/C851</f>
        <v>86.203194444444435</v>
      </c>
      <c r="E851" s="19">
        <v>18619.89</v>
      </c>
    </row>
    <row r="852" spans="1:6" ht="11.25" customHeight="1" x14ac:dyDescent="0.2">
      <c r="A852" s="8" t="s">
        <v>85</v>
      </c>
      <c r="B852" s="9" t="s">
        <v>86</v>
      </c>
      <c r="C852" s="34"/>
      <c r="D852" s="16"/>
      <c r="E852" s="19">
        <v>0</v>
      </c>
    </row>
    <row r="853" spans="1:6" ht="11.25" customHeight="1" x14ac:dyDescent="0.2">
      <c r="A853" s="8" t="s">
        <v>87</v>
      </c>
      <c r="B853" s="9" t="s">
        <v>88</v>
      </c>
      <c r="C853" s="34">
        <v>215</v>
      </c>
      <c r="D853" s="16">
        <f>E853/C853</f>
        <v>526.20009302325582</v>
      </c>
      <c r="E853" s="19">
        <v>113133.02</v>
      </c>
    </row>
    <row r="854" spans="1:6" ht="11.25" customHeight="1" x14ac:dyDescent="0.2">
      <c r="A854" s="8" t="s">
        <v>89</v>
      </c>
      <c r="B854" s="9" t="s">
        <v>90</v>
      </c>
      <c r="C854" s="16"/>
      <c r="D854" s="16"/>
      <c r="E854" s="19">
        <v>0</v>
      </c>
    </row>
    <row r="855" spans="1:6" ht="11.25" customHeight="1" x14ac:dyDescent="0.2">
      <c r="A855" s="8" t="s">
        <v>91</v>
      </c>
      <c r="B855" s="9" t="s">
        <v>202</v>
      </c>
      <c r="C855" s="34">
        <v>6</v>
      </c>
      <c r="D855" s="16">
        <f>E855/C855</f>
        <v>2769.5299401998959</v>
      </c>
      <c r="E855" s="19">
        <f>2826.16*6*1.2*0.81663515754</f>
        <v>16617.179641199375</v>
      </c>
    </row>
    <row r="856" spans="1:6" ht="11.25" customHeight="1" x14ac:dyDescent="0.2">
      <c r="A856" s="8" t="s">
        <v>203</v>
      </c>
      <c r="B856" s="9" t="s">
        <v>92</v>
      </c>
      <c r="C856" s="16"/>
      <c r="D856" s="16"/>
      <c r="E856" s="19">
        <v>0</v>
      </c>
    </row>
    <row r="857" spans="1:6" ht="15" customHeight="1" x14ac:dyDescent="0.2">
      <c r="A857" s="5">
        <v>4</v>
      </c>
      <c r="B857" s="6" t="s">
        <v>193</v>
      </c>
      <c r="C857" s="16"/>
      <c r="D857" s="16"/>
      <c r="E857" s="17">
        <f>F858/1.1*0.1</f>
        <v>334825.92</v>
      </c>
    </row>
    <row r="858" spans="1:6" ht="18.75" customHeight="1" x14ac:dyDescent="0.2">
      <c r="A858" s="10"/>
      <c r="B858" s="11" t="s">
        <v>94</v>
      </c>
      <c r="C858" s="21"/>
      <c r="D858" s="21"/>
      <c r="E858" s="17">
        <f>E824+E837+E845+E857</f>
        <v>3683085.1156411995</v>
      </c>
      <c r="F858" s="25">
        <f>E811*29.04*12</f>
        <v>3683085.12</v>
      </c>
    </row>
    <row r="859" spans="1:6" ht="15" customHeight="1" x14ac:dyDescent="0.25">
      <c r="A859" s="10"/>
      <c r="B859" s="11" t="s">
        <v>199</v>
      </c>
      <c r="C859" s="21"/>
      <c r="D859" s="21"/>
      <c r="E859" s="22">
        <v>29.04</v>
      </c>
    </row>
    <row r="860" spans="1:6" ht="10.95" customHeight="1" x14ac:dyDescent="0.2"/>
    <row r="861" spans="1:6" ht="10.95" customHeight="1" x14ac:dyDescent="0.2"/>
    <row r="862" spans="1:6" ht="10.95" customHeight="1" x14ac:dyDescent="0.2"/>
    <row r="863" spans="1:6" ht="15" customHeight="1" x14ac:dyDescent="0.25">
      <c r="B863" s="12" t="s">
        <v>96</v>
      </c>
    </row>
    <row r="864" spans="1:6" ht="12" customHeight="1" x14ac:dyDescent="0.2"/>
    <row r="865" spans="1:5" ht="13.2" customHeight="1" x14ac:dyDescent="0.25">
      <c r="B865" s="3" t="s">
        <v>97</v>
      </c>
    </row>
    <row r="866" spans="1:5" ht="7.95" customHeight="1" x14ac:dyDescent="0.2"/>
    <row r="867" spans="1:5" ht="12" customHeight="1" x14ac:dyDescent="0.25">
      <c r="B867" s="41" t="s">
        <v>100</v>
      </c>
      <c r="C867" s="41"/>
      <c r="D867" s="41"/>
      <c r="E867" s="41"/>
    </row>
    <row r="868" spans="1:5" ht="10.95" customHeight="1" x14ac:dyDescent="0.2"/>
    <row r="869" spans="1:5" ht="10.95" customHeight="1" x14ac:dyDescent="0.2"/>
    <row r="870" spans="1:5" ht="10.95" customHeight="1" x14ac:dyDescent="0.2"/>
    <row r="871" spans="1:5" ht="16.2" customHeight="1" x14ac:dyDescent="0.2">
      <c r="A871" s="39" t="s">
        <v>0</v>
      </c>
      <c r="B871" s="39"/>
      <c r="C871" s="39"/>
      <c r="D871" s="39"/>
      <c r="E871" s="39"/>
    </row>
    <row r="872" spans="1:5" ht="10.95" customHeight="1" x14ac:dyDescent="0.2">
      <c r="A872" s="40" t="s">
        <v>1</v>
      </c>
      <c r="B872" s="40"/>
      <c r="C872" s="40"/>
      <c r="D872" s="40"/>
      <c r="E872" s="40"/>
    </row>
    <row r="873" spans="1:5" ht="13.2" customHeight="1" x14ac:dyDescent="0.2">
      <c r="A873" s="40" t="s">
        <v>198</v>
      </c>
      <c r="B873" s="40"/>
      <c r="C873" s="40"/>
      <c r="D873" s="40"/>
      <c r="E873" s="40"/>
    </row>
    <row r="874" spans="1:5" ht="10.95" customHeight="1" x14ac:dyDescent="0.2"/>
    <row r="875" spans="1:5" ht="10.95" customHeight="1" x14ac:dyDescent="0.2">
      <c r="C875" s="42" t="s">
        <v>3</v>
      </c>
      <c r="D875" s="42"/>
      <c r="E875" s="42"/>
    </row>
    <row r="876" spans="1:5" ht="12" customHeight="1" x14ac:dyDescent="0.2">
      <c r="D876" s="26" t="s">
        <v>4</v>
      </c>
      <c r="E876" s="24">
        <v>10516.1</v>
      </c>
    </row>
    <row r="877" spans="1:5" ht="12" customHeight="1" x14ac:dyDescent="0.2">
      <c r="D877" s="26" t="s">
        <v>5</v>
      </c>
      <c r="E877" s="23">
        <v>0</v>
      </c>
    </row>
    <row r="878" spans="1:5" ht="12" customHeight="1" x14ac:dyDescent="0.2">
      <c r="D878" s="26" t="s">
        <v>6</v>
      </c>
      <c r="E878" s="30">
        <v>6</v>
      </c>
    </row>
    <row r="879" spans="1:5" ht="12" customHeight="1" x14ac:dyDescent="0.2">
      <c r="D879" s="26" t="s">
        <v>7</v>
      </c>
      <c r="E879" s="30">
        <v>9</v>
      </c>
    </row>
    <row r="880" spans="1:5" ht="12" customHeight="1" x14ac:dyDescent="0.2">
      <c r="D880" s="26" t="s">
        <v>8</v>
      </c>
      <c r="E880" s="30">
        <v>216</v>
      </c>
    </row>
    <row r="881" spans="1:6" ht="12" customHeight="1" x14ac:dyDescent="0.2">
      <c r="D881" s="26" t="s">
        <v>9</v>
      </c>
      <c r="E881" s="30">
        <v>507</v>
      </c>
    </row>
    <row r="882" spans="1:6" ht="12" customHeight="1" x14ac:dyDescent="0.2">
      <c r="D882" s="26" t="s">
        <v>10</v>
      </c>
      <c r="E882" s="30">
        <v>6</v>
      </c>
    </row>
    <row r="883" spans="1:6" ht="12" customHeight="1" x14ac:dyDescent="0.2">
      <c r="D883" s="26" t="s">
        <v>11</v>
      </c>
      <c r="E883" s="30">
        <v>0</v>
      </c>
    </row>
    <row r="884" spans="1:6" ht="12" customHeight="1" x14ac:dyDescent="0.2">
      <c r="D884" s="26" t="s">
        <v>12</v>
      </c>
      <c r="E884" s="30">
        <v>0</v>
      </c>
    </row>
    <row r="885" spans="1:6" ht="12" customHeight="1" x14ac:dyDescent="0.2">
      <c r="D885" s="26" t="s">
        <v>13</v>
      </c>
      <c r="E885" s="30">
        <v>1159</v>
      </c>
    </row>
    <row r="886" spans="1:6" ht="12" customHeight="1" x14ac:dyDescent="0.25">
      <c r="A886" s="2" t="s">
        <v>14</v>
      </c>
      <c r="B886" s="3" t="s">
        <v>115</v>
      </c>
    </row>
    <row r="887" spans="1:6" ht="10.95" customHeight="1" x14ac:dyDescent="0.2"/>
    <row r="888" spans="1:6" ht="45" customHeight="1" x14ac:dyDescent="0.2">
      <c r="A888" s="4" t="s">
        <v>15</v>
      </c>
      <c r="B888" s="4" t="s">
        <v>131</v>
      </c>
      <c r="C888" s="27" t="s">
        <v>17</v>
      </c>
      <c r="D888" s="27" t="s">
        <v>103</v>
      </c>
      <c r="E888" s="27" t="s">
        <v>19</v>
      </c>
    </row>
    <row r="889" spans="1:6" ht="31.5" customHeight="1" x14ac:dyDescent="0.2">
      <c r="A889" s="5">
        <v>1</v>
      </c>
      <c r="B889" s="6" t="s">
        <v>190</v>
      </c>
      <c r="C889" s="16"/>
      <c r="D889" s="16"/>
      <c r="E889" s="17">
        <f>E890+E897</f>
        <v>1979406.2120000001</v>
      </c>
    </row>
    <row r="890" spans="1:6" ht="15" customHeight="1" x14ac:dyDescent="0.2">
      <c r="A890" s="7" t="s">
        <v>21</v>
      </c>
      <c r="B890" s="6" t="s">
        <v>132</v>
      </c>
      <c r="C890" s="16"/>
      <c r="D890" s="16"/>
      <c r="E890" s="17">
        <f>SUM(E891:E896)</f>
        <v>764804.38599999994</v>
      </c>
    </row>
    <row r="891" spans="1:6" ht="11.25" customHeight="1" x14ac:dyDescent="0.2">
      <c r="A891" s="15" t="s">
        <v>23</v>
      </c>
      <c r="B891" s="9" t="s">
        <v>34</v>
      </c>
      <c r="C891" s="16">
        <v>1.32</v>
      </c>
      <c r="D891" s="16">
        <v>18781</v>
      </c>
      <c r="E891" s="19">
        <f>ROUND(C891*D891,2)*12</f>
        <v>297491.03999999998</v>
      </c>
      <c r="F891" s="20"/>
    </row>
    <row r="892" spans="1:6" ht="11.25" customHeight="1" x14ac:dyDescent="0.2">
      <c r="A892" s="8" t="s">
        <v>31</v>
      </c>
      <c r="B892" s="9" t="s">
        <v>36</v>
      </c>
      <c r="C892" s="16">
        <v>1.19</v>
      </c>
      <c r="D892" s="16">
        <v>18781</v>
      </c>
      <c r="E892" s="19">
        <f>ROUND(C892*D892,2)*12</f>
        <v>268192.68</v>
      </c>
    </row>
    <row r="893" spans="1:6" ht="11.25" customHeight="1" x14ac:dyDescent="0.2">
      <c r="A893" s="8" t="s">
        <v>121</v>
      </c>
      <c r="B893" s="9" t="s">
        <v>38</v>
      </c>
      <c r="C893" s="16">
        <v>30.2</v>
      </c>
      <c r="D893" s="16">
        <f>E891</f>
        <v>297491.03999999998</v>
      </c>
      <c r="E893" s="19">
        <f>ROUND(C893*D893/100,2)</f>
        <v>89842.29</v>
      </c>
    </row>
    <row r="894" spans="1:6" ht="11.25" customHeight="1" x14ac:dyDescent="0.2">
      <c r="A894" s="8" t="s">
        <v>186</v>
      </c>
      <c r="B894" s="9" t="s">
        <v>40</v>
      </c>
      <c r="C894" s="16">
        <v>30.2</v>
      </c>
      <c r="D894" s="16">
        <f>E892</f>
        <v>268192.68</v>
      </c>
      <c r="E894" s="19">
        <f>ROUND(C894*D894/100,2)</f>
        <v>80994.19</v>
      </c>
    </row>
    <row r="895" spans="1:6" ht="11.25" customHeight="1" x14ac:dyDescent="0.2">
      <c r="A895" s="8" t="s">
        <v>187</v>
      </c>
      <c r="B895" s="9" t="s">
        <v>42</v>
      </c>
      <c r="C895" s="16"/>
      <c r="D895" s="16"/>
      <c r="E895" s="19">
        <f>E891*0.05</f>
        <v>14874.552</v>
      </c>
    </row>
    <row r="896" spans="1:6" ht="11.25" customHeight="1" x14ac:dyDescent="0.2">
      <c r="A896" s="8" t="s">
        <v>188</v>
      </c>
      <c r="B896" s="9" t="s">
        <v>44</v>
      </c>
      <c r="C896" s="16"/>
      <c r="D896" s="16"/>
      <c r="E896" s="19">
        <f>E892*0.05</f>
        <v>13409.634</v>
      </c>
    </row>
    <row r="897" spans="1:6" ht="15" customHeight="1" x14ac:dyDescent="0.2">
      <c r="A897" s="7" t="s">
        <v>45</v>
      </c>
      <c r="B897" s="6" t="s">
        <v>189</v>
      </c>
      <c r="C897" s="16"/>
      <c r="D897" s="16"/>
      <c r="E897" s="17">
        <f>E898+E899+E900+E901</f>
        <v>1214601.8260000001</v>
      </c>
    </row>
    <row r="898" spans="1:6" ht="11.25" customHeight="1" x14ac:dyDescent="0.2">
      <c r="A898" s="8" t="s">
        <v>47</v>
      </c>
      <c r="B898" s="9" t="s">
        <v>48</v>
      </c>
      <c r="C898" s="16">
        <v>2.91</v>
      </c>
      <c r="D898" s="16">
        <v>18781</v>
      </c>
      <c r="E898" s="19">
        <f>ROUND(C898*D898,2)*12</f>
        <v>655832.52</v>
      </c>
      <c r="F898" s="20"/>
    </row>
    <row r="899" spans="1:6" ht="11.25" customHeight="1" x14ac:dyDescent="0.2">
      <c r="A899" s="8" t="s">
        <v>49</v>
      </c>
      <c r="B899" s="9" t="s">
        <v>50</v>
      </c>
      <c r="C899" s="16">
        <v>30.2</v>
      </c>
      <c r="D899" s="16">
        <f>E898</f>
        <v>655832.52</v>
      </c>
      <c r="E899" s="19">
        <f>ROUND(C899*D899/100,2)</f>
        <v>198061.42</v>
      </c>
    </row>
    <row r="900" spans="1:6" ht="11.25" customHeight="1" x14ac:dyDescent="0.2">
      <c r="A900" s="8" t="s">
        <v>51</v>
      </c>
      <c r="B900" s="9" t="s">
        <v>52</v>
      </c>
      <c r="C900" s="16"/>
      <c r="D900" s="16"/>
      <c r="E900" s="19">
        <f>E898*0.5</f>
        <v>327916.26</v>
      </c>
    </row>
    <row r="901" spans="1:6" ht="11.25" customHeight="1" x14ac:dyDescent="0.2">
      <c r="A901" s="8" t="s">
        <v>53</v>
      </c>
      <c r="B901" s="9" t="s">
        <v>54</v>
      </c>
      <c r="C901" s="16"/>
      <c r="D901" s="16"/>
      <c r="E901" s="19">
        <f>E898*0.05</f>
        <v>32791.626000000004</v>
      </c>
    </row>
    <row r="902" spans="1:6" ht="20.100000000000001" customHeight="1" x14ac:dyDescent="0.2">
      <c r="A902" s="5">
        <v>2</v>
      </c>
      <c r="B902" s="6" t="s">
        <v>57</v>
      </c>
      <c r="C902" s="16"/>
      <c r="D902" s="16"/>
      <c r="E902" s="17">
        <f>E903+E905+E906+E907+E908+E909+E904</f>
        <v>908768.19000000018</v>
      </c>
    </row>
    <row r="903" spans="1:6" ht="11.25" customHeight="1" x14ac:dyDescent="0.2">
      <c r="A903" s="35" t="s">
        <v>58</v>
      </c>
      <c r="B903" s="9" t="s">
        <v>204</v>
      </c>
      <c r="C903" s="16">
        <v>735.15</v>
      </c>
      <c r="D903" s="16">
        <f>E903/C903</f>
        <v>177.97000612119976</v>
      </c>
      <c r="E903" s="19">
        <v>130834.65</v>
      </c>
    </row>
    <row r="904" spans="1:6" ht="11.25" customHeight="1" x14ac:dyDescent="0.2">
      <c r="A904" s="35" t="s">
        <v>60</v>
      </c>
      <c r="B904" s="9" t="s">
        <v>195</v>
      </c>
      <c r="C904" s="16">
        <v>735.15</v>
      </c>
      <c r="D904" s="16">
        <f>E904/C904</f>
        <v>219.63343535332925</v>
      </c>
      <c r="E904" s="19">
        <v>161463.51999999999</v>
      </c>
    </row>
    <row r="905" spans="1:6" ht="11.25" customHeight="1" x14ac:dyDescent="0.2">
      <c r="A905" s="35" t="s">
        <v>62</v>
      </c>
      <c r="B905" s="9" t="s">
        <v>196</v>
      </c>
      <c r="C905" s="16">
        <v>233.22</v>
      </c>
      <c r="D905" s="16">
        <f>E905/C905</f>
        <v>848.40125203670357</v>
      </c>
      <c r="E905" s="19">
        <v>197864.14</v>
      </c>
    </row>
    <row r="906" spans="1:6" ht="11.25" customHeight="1" x14ac:dyDescent="0.2">
      <c r="A906" s="35" t="s">
        <v>64</v>
      </c>
      <c r="B906" s="9" t="s">
        <v>63</v>
      </c>
      <c r="C906" s="16">
        <f>E906/D906</f>
        <v>50931.736745886665</v>
      </c>
      <c r="D906" s="16">
        <v>5.47</v>
      </c>
      <c r="E906" s="19">
        <f>300850-26358.54+4105.14</f>
        <v>278596.60000000003</v>
      </c>
    </row>
    <row r="907" spans="1:6" ht="11.25" customHeight="1" x14ac:dyDescent="0.2">
      <c r="A907" s="35" t="s">
        <v>66</v>
      </c>
      <c r="B907" s="9" t="s">
        <v>65</v>
      </c>
      <c r="C907" s="16">
        <f>E907/D907</f>
        <v>1584.5334018499486</v>
      </c>
      <c r="D907" s="16">
        <v>68.11</v>
      </c>
      <c r="E907" s="19">
        <v>107922.57</v>
      </c>
    </row>
    <row r="908" spans="1:6" ht="11.25" customHeight="1" x14ac:dyDescent="0.2">
      <c r="A908" s="35" t="s">
        <v>68</v>
      </c>
      <c r="B908" s="9" t="s">
        <v>69</v>
      </c>
      <c r="C908" s="16">
        <v>1606.4</v>
      </c>
      <c r="D908" s="16">
        <f>E908/C908</f>
        <v>3.3499999999999996</v>
      </c>
      <c r="E908" s="19">
        <v>5381.44</v>
      </c>
    </row>
    <row r="909" spans="1:6" ht="11.25" customHeight="1" x14ac:dyDescent="0.2">
      <c r="A909" s="35" t="s">
        <v>70</v>
      </c>
      <c r="B909" s="9" t="s">
        <v>71</v>
      </c>
      <c r="C909" s="16">
        <v>142.02000000000001</v>
      </c>
      <c r="D909" s="16">
        <f>E909/C909</f>
        <v>188.03879735248555</v>
      </c>
      <c r="E909" s="19">
        <v>26705.27</v>
      </c>
    </row>
    <row r="910" spans="1:6" ht="20.100000000000001" customHeight="1" x14ac:dyDescent="0.2">
      <c r="A910" s="5">
        <v>3</v>
      </c>
      <c r="B910" s="6" t="s">
        <v>72</v>
      </c>
      <c r="C910" s="16"/>
      <c r="D910" s="16"/>
      <c r="E910" s="17">
        <f>E911+E912+E913+E914+E915+E916+E917+E918+E919+E921+E920</f>
        <v>443326.07964119926</v>
      </c>
    </row>
    <row r="911" spans="1:6" ht="11.25" customHeight="1" x14ac:dyDescent="0.2">
      <c r="A911" s="8" t="s">
        <v>73</v>
      </c>
      <c r="B911" s="9" t="s">
        <v>74</v>
      </c>
      <c r="C911" s="34">
        <v>6</v>
      </c>
      <c r="D911" s="16">
        <f>E911/C911/12</f>
        <v>3064.0080555555555</v>
      </c>
      <c r="E911" s="19">
        <v>220608.58</v>
      </c>
    </row>
    <row r="912" spans="1:6" ht="11.25" customHeight="1" x14ac:dyDescent="0.2">
      <c r="A912" s="8" t="s">
        <v>75</v>
      </c>
      <c r="B912" s="9" t="s">
        <v>76</v>
      </c>
      <c r="C912" s="16"/>
      <c r="D912" s="16"/>
      <c r="E912" s="19">
        <v>0</v>
      </c>
    </row>
    <row r="913" spans="1:6" ht="11.25" customHeight="1" x14ac:dyDescent="0.2">
      <c r="A913" s="8" t="s">
        <v>77</v>
      </c>
      <c r="B913" s="9" t="s">
        <v>78</v>
      </c>
      <c r="C913" s="16"/>
      <c r="D913" s="16"/>
      <c r="E913" s="19">
        <v>0</v>
      </c>
    </row>
    <row r="914" spans="1:6" ht="11.25" customHeight="1" x14ac:dyDescent="0.2">
      <c r="A914" s="8" t="s">
        <v>79</v>
      </c>
      <c r="B914" s="9" t="s">
        <v>80</v>
      </c>
      <c r="C914" s="16">
        <v>10516.1</v>
      </c>
      <c r="D914" s="16">
        <f>E914/C914</f>
        <v>4.1500299540704253</v>
      </c>
      <c r="E914" s="19">
        <v>43642.13</v>
      </c>
    </row>
    <row r="915" spans="1:6" ht="11.25" customHeight="1" x14ac:dyDescent="0.2">
      <c r="A915" s="8" t="s">
        <v>81</v>
      </c>
      <c r="B915" s="9" t="s">
        <v>82</v>
      </c>
      <c r="C915" s="34">
        <v>432</v>
      </c>
      <c r="D915" s="16">
        <f>E915/C915</f>
        <v>71.676481481481488</v>
      </c>
      <c r="E915" s="19">
        <v>30964.240000000002</v>
      </c>
    </row>
    <row r="916" spans="1:6" ht="11.25" customHeight="1" x14ac:dyDescent="0.2">
      <c r="A916" s="8" t="s">
        <v>83</v>
      </c>
      <c r="B916" s="9" t="s">
        <v>194</v>
      </c>
      <c r="C916" s="34">
        <v>216</v>
      </c>
      <c r="D916" s="16">
        <f>E916/C916</f>
        <v>85.836111111111109</v>
      </c>
      <c r="E916" s="19">
        <v>18540.599999999999</v>
      </c>
    </row>
    <row r="917" spans="1:6" ht="11.25" customHeight="1" x14ac:dyDescent="0.2">
      <c r="A917" s="8" t="s">
        <v>85</v>
      </c>
      <c r="B917" s="9" t="s">
        <v>86</v>
      </c>
      <c r="C917" s="34"/>
      <c r="D917" s="16"/>
      <c r="E917" s="19">
        <v>0</v>
      </c>
    </row>
    <row r="918" spans="1:6" ht="11.25" customHeight="1" x14ac:dyDescent="0.2">
      <c r="A918" s="8" t="s">
        <v>87</v>
      </c>
      <c r="B918" s="9" t="s">
        <v>88</v>
      </c>
      <c r="C918" s="34">
        <v>216</v>
      </c>
      <c r="D918" s="16">
        <f>E918/C918</f>
        <v>522.932175925926</v>
      </c>
      <c r="E918" s="19">
        <v>112953.35</v>
      </c>
    </row>
    <row r="919" spans="1:6" ht="11.25" customHeight="1" x14ac:dyDescent="0.2">
      <c r="A919" s="8" t="s">
        <v>89</v>
      </c>
      <c r="B919" s="9" t="s">
        <v>90</v>
      </c>
      <c r="C919" s="16"/>
      <c r="D919" s="16"/>
      <c r="E919" s="19">
        <v>0</v>
      </c>
    </row>
    <row r="920" spans="1:6" ht="11.25" customHeight="1" x14ac:dyDescent="0.2">
      <c r="A920" s="8" t="s">
        <v>91</v>
      </c>
      <c r="B920" s="9" t="s">
        <v>202</v>
      </c>
      <c r="C920" s="34">
        <v>6</v>
      </c>
      <c r="D920" s="16">
        <f>E920/C920</f>
        <v>2769.5299401998959</v>
      </c>
      <c r="E920" s="19">
        <f>2826.16*6*1.2*0.81663515754</f>
        <v>16617.179641199375</v>
      </c>
    </row>
    <row r="921" spans="1:6" ht="11.25" customHeight="1" x14ac:dyDescent="0.2">
      <c r="A921" s="8" t="s">
        <v>203</v>
      </c>
      <c r="B921" s="9" t="s">
        <v>92</v>
      </c>
      <c r="C921" s="16"/>
      <c r="D921" s="16"/>
      <c r="E921" s="19">
        <v>0</v>
      </c>
    </row>
    <row r="922" spans="1:6" ht="15" customHeight="1" x14ac:dyDescent="0.2">
      <c r="A922" s="5">
        <v>4</v>
      </c>
      <c r="B922" s="6" t="s">
        <v>193</v>
      </c>
      <c r="C922" s="16"/>
      <c r="D922" s="16"/>
      <c r="E922" s="17">
        <f>F923/1.1*0.1</f>
        <v>333150.04799999995</v>
      </c>
    </row>
    <row r="923" spans="1:6" ht="18.75" customHeight="1" x14ac:dyDescent="0.2">
      <c r="A923" s="10"/>
      <c r="B923" s="11" t="s">
        <v>94</v>
      </c>
      <c r="C923" s="21"/>
      <c r="D923" s="21"/>
      <c r="E923" s="17">
        <f>E889+E902+E910+E922</f>
        <v>3664650.5296411994</v>
      </c>
      <c r="F923" s="25">
        <f>E876*29.04*12</f>
        <v>3664650.5279999999</v>
      </c>
    </row>
    <row r="924" spans="1:6" ht="15" customHeight="1" x14ac:dyDescent="0.25">
      <c r="A924" s="10"/>
      <c r="B924" s="11" t="s">
        <v>199</v>
      </c>
      <c r="C924" s="21"/>
      <c r="D924" s="21"/>
      <c r="E924" s="22">
        <v>29.04</v>
      </c>
    </row>
    <row r="925" spans="1:6" ht="10.95" customHeight="1" x14ac:dyDescent="0.2"/>
    <row r="926" spans="1:6" ht="10.95" customHeight="1" x14ac:dyDescent="0.2"/>
    <row r="927" spans="1:6" ht="10.95" customHeight="1" x14ac:dyDescent="0.2"/>
    <row r="928" spans="1:6" ht="15" customHeight="1" x14ac:dyDescent="0.25">
      <c r="B928" s="12" t="s">
        <v>96</v>
      </c>
    </row>
    <row r="929" spans="1:5" ht="12" customHeight="1" x14ac:dyDescent="0.2"/>
    <row r="930" spans="1:5" ht="13.2" customHeight="1" x14ac:dyDescent="0.25">
      <c r="B930" s="3" t="s">
        <v>97</v>
      </c>
    </row>
    <row r="931" spans="1:5" ht="7.95" customHeight="1" x14ac:dyDescent="0.2"/>
    <row r="932" spans="1:5" ht="12" customHeight="1" x14ac:dyDescent="0.25">
      <c r="B932" s="41" t="s">
        <v>100</v>
      </c>
      <c r="C932" s="41"/>
      <c r="D932" s="41"/>
      <c r="E932" s="41"/>
    </row>
    <row r="933" spans="1:5" ht="10.95" customHeight="1" x14ac:dyDescent="0.2"/>
    <row r="934" spans="1:5" ht="10.95" customHeight="1" x14ac:dyDescent="0.2"/>
    <row r="935" spans="1:5" ht="10.95" customHeight="1" x14ac:dyDescent="0.2"/>
    <row r="936" spans="1:5" ht="16.2" customHeight="1" x14ac:dyDescent="0.2">
      <c r="A936" s="39" t="s">
        <v>0</v>
      </c>
      <c r="B936" s="39"/>
      <c r="C936" s="39"/>
      <c r="D936" s="39"/>
      <c r="E936" s="39"/>
    </row>
    <row r="937" spans="1:5" ht="10.95" customHeight="1" x14ac:dyDescent="0.2">
      <c r="A937" s="40" t="s">
        <v>1</v>
      </c>
      <c r="B937" s="40"/>
      <c r="C937" s="40"/>
      <c r="D937" s="40"/>
      <c r="E937" s="40"/>
    </row>
    <row r="938" spans="1:5" ht="13.2" customHeight="1" x14ac:dyDescent="0.2">
      <c r="A938" s="40" t="s">
        <v>198</v>
      </c>
      <c r="B938" s="40"/>
      <c r="C938" s="40"/>
      <c r="D938" s="40"/>
      <c r="E938" s="40"/>
    </row>
    <row r="939" spans="1:5" ht="10.95" customHeight="1" x14ac:dyDescent="0.2"/>
    <row r="940" spans="1:5" ht="10.95" customHeight="1" x14ac:dyDescent="0.2">
      <c r="C940" s="42" t="s">
        <v>3</v>
      </c>
      <c r="D940" s="42"/>
      <c r="E940" s="42"/>
    </row>
    <row r="941" spans="1:5" ht="12" customHeight="1" x14ac:dyDescent="0.2">
      <c r="D941" s="26" t="s">
        <v>4</v>
      </c>
      <c r="E941" s="24">
        <v>10134.4</v>
      </c>
    </row>
    <row r="942" spans="1:5" ht="12" customHeight="1" x14ac:dyDescent="0.2">
      <c r="D942" s="26" t="s">
        <v>5</v>
      </c>
      <c r="E942" s="23">
        <v>2337.5</v>
      </c>
    </row>
    <row r="943" spans="1:5" ht="12" customHeight="1" x14ac:dyDescent="0.2">
      <c r="D943" s="26" t="s">
        <v>6</v>
      </c>
      <c r="E943" s="30">
        <v>1</v>
      </c>
    </row>
    <row r="944" spans="1:5" ht="12" customHeight="1" x14ac:dyDescent="0.2">
      <c r="D944" s="26" t="s">
        <v>7</v>
      </c>
      <c r="E944" s="30">
        <v>24</v>
      </c>
    </row>
    <row r="945" spans="1:6" ht="12" customHeight="1" x14ac:dyDescent="0.2">
      <c r="D945" s="26" t="s">
        <v>8</v>
      </c>
      <c r="E945" s="30">
        <v>175</v>
      </c>
    </row>
    <row r="946" spans="1:6" ht="12" customHeight="1" x14ac:dyDescent="0.2">
      <c r="D946" s="26" t="s">
        <v>9</v>
      </c>
      <c r="E946" s="30">
        <v>446</v>
      </c>
    </row>
    <row r="947" spans="1:6" ht="12" customHeight="1" x14ac:dyDescent="0.2">
      <c r="D947" s="26" t="s">
        <v>10</v>
      </c>
      <c r="E947" s="30">
        <v>4</v>
      </c>
    </row>
    <row r="948" spans="1:6" ht="12" customHeight="1" x14ac:dyDescent="0.2">
      <c r="D948" s="26" t="s">
        <v>11</v>
      </c>
      <c r="E948" s="30">
        <v>2</v>
      </c>
    </row>
    <row r="949" spans="1:6" ht="12" customHeight="1" x14ac:dyDescent="0.2">
      <c r="D949" s="26" t="s">
        <v>12</v>
      </c>
      <c r="E949" s="30">
        <v>0</v>
      </c>
    </row>
    <row r="950" spans="1:6" ht="12" customHeight="1" x14ac:dyDescent="0.2">
      <c r="D950" s="26" t="s">
        <v>13</v>
      </c>
      <c r="E950" s="30">
        <v>3433</v>
      </c>
    </row>
    <row r="951" spans="1:6" ht="12" customHeight="1" x14ac:dyDescent="0.25">
      <c r="A951" s="2" t="s">
        <v>14</v>
      </c>
      <c r="B951" s="3" t="s">
        <v>116</v>
      </c>
    </row>
    <row r="952" spans="1:6" ht="10.95" customHeight="1" x14ac:dyDescent="0.2"/>
    <row r="953" spans="1:6" ht="45" customHeight="1" x14ac:dyDescent="0.2">
      <c r="A953" s="4" t="s">
        <v>15</v>
      </c>
      <c r="B953" s="4" t="s">
        <v>131</v>
      </c>
      <c r="C953" s="27" t="s">
        <v>17</v>
      </c>
      <c r="D953" s="27" t="s">
        <v>103</v>
      </c>
      <c r="E953" s="27" t="s">
        <v>19</v>
      </c>
    </row>
    <row r="954" spans="1:6" ht="31.5" customHeight="1" x14ac:dyDescent="0.2">
      <c r="A954" s="5">
        <v>1</v>
      </c>
      <c r="B954" s="6" t="s">
        <v>190</v>
      </c>
      <c r="C954" s="16"/>
      <c r="D954" s="16"/>
      <c r="E954" s="17">
        <f>E955+E962</f>
        <v>1416237.6400000001</v>
      </c>
    </row>
    <row r="955" spans="1:6" ht="15" customHeight="1" x14ac:dyDescent="0.2">
      <c r="A955" s="7" t="s">
        <v>21</v>
      </c>
      <c r="B955" s="6" t="s">
        <v>132</v>
      </c>
      <c r="C955" s="16"/>
      <c r="D955" s="16"/>
      <c r="E955" s="17">
        <f>SUM(E956:E961)</f>
        <v>1066460.3</v>
      </c>
    </row>
    <row r="956" spans="1:6" ht="11.25" customHeight="1" x14ac:dyDescent="0.2">
      <c r="A956" s="15" t="s">
        <v>23</v>
      </c>
      <c r="B956" s="9" t="s">
        <v>34</v>
      </c>
      <c r="C956" s="16">
        <v>2.5</v>
      </c>
      <c r="D956" s="16">
        <v>18781</v>
      </c>
      <c r="E956" s="19">
        <f>ROUND(C956*D956,2)*12</f>
        <v>563430</v>
      </c>
      <c r="F956" s="20"/>
    </row>
    <row r="957" spans="1:6" ht="11.25" customHeight="1" x14ac:dyDescent="0.2">
      <c r="A957" s="8" t="s">
        <v>31</v>
      </c>
      <c r="B957" s="9" t="s">
        <v>36</v>
      </c>
      <c r="C957" s="16">
        <v>1</v>
      </c>
      <c r="D957" s="16">
        <v>18781</v>
      </c>
      <c r="E957" s="19">
        <f>ROUND(C957*D957,2)*12</f>
        <v>225372</v>
      </c>
    </row>
    <row r="958" spans="1:6" ht="11.25" customHeight="1" x14ac:dyDescent="0.2">
      <c r="A958" s="8" t="s">
        <v>121</v>
      </c>
      <c r="B958" s="9" t="s">
        <v>38</v>
      </c>
      <c r="C958" s="16">
        <v>30.2</v>
      </c>
      <c r="D958" s="16">
        <f>E956</f>
        <v>563430</v>
      </c>
      <c r="E958" s="19">
        <f>ROUND(C958*D958/100,2)</f>
        <v>170155.86</v>
      </c>
    </row>
    <row r="959" spans="1:6" ht="11.25" customHeight="1" x14ac:dyDescent="0.2">
      <c r="A959" s="8" t="s">
        <v>186</v>
      </c>
      <c r="B959" s="9" t="s">
        <v>40</v>
      </c>
      <c r="C959" s="16">
        <v>30.2</v>
      </c>
      <c r="D959" s="16">
        <f>E957</f>
        <v>225372</v>
      </c>
      <c r="E959" s="19">
        <f>ROUND(C959*D959/100,2)</f>
        <v>68062.34</v>
      </c>
    </row>
    <row r="960" spans="1:6" ht="11.25" customHeight="1" x14ac:dyDescent="0.2">
      <c r="A960" s="8" t="s">
        <v>187</v>
      </c>
      <c r="B960" s="9" t="s">
        <v>42</v>
      </c>
      <c r="C960" s="16"/>
      <c r="D960" s="16"/>
      <c r="E960" s="19">
        <f>E956*0.05</f>
        <v>28171.5</v>
      </c>
    </row>
    <row r="961" spans="1:6" ht="11.25" customHeight="1" x14ac:dyDescent="0.2">
      <c r="A961" s="8" t="s">
        <v>188</v>
      </c>
      <c r="B961" s="9" t="s">
        <v>44</v>
      </c>
      <c r="C961" s="16"/>
      <c r="D961" s="16"/>
      <c r="E961" s="19">
        <f>E957*0.05</f>
        <v>11268.6</v>
      </c>
    </row>
    <row r="962" spans="1:6" ht="15" customHeight="1" x14ac:dyDescent="0.2">
      <c r="A962" s="7" t="s">
        <v>45</v>
      </c>
      <c r="B962" s="6" t="s">
        <v>189</v>
      </c>
      <c r="C962" s="16"/>
      <c r="D962" s="16"/>
      <c r="E962" s="17">
        <f>E963+E964+E965+E966</f>
        <v>349777.33999999997</v>
      </c>
    </row>
    <row r="963" spans="1:6" ht="11.25" customHeight="1" x14ac:dyDescent="0.2">
      <c r="A963" s="8" t="s">
        <v>47</v>
      </c>
      <c r="B963" s="9" t="s">
        <v>48</v>
      </c>
      <c r="C963" s="16">
        <v>1</v>
      </c>
      <c r="D963" s="16">
        <v>18781</v>
      </c>
      <c r="E963" s="19">
        <f>ROUND(C963*D963,2)*12</f>
        <v>225372</v>
      </c>
      <c r="F963" s="20"/>
    </row>
    <row r="964" spans="1:6" ht="11.25" customHeight="1" x14ac:dyDescent="0.2">
      <c r="A964" s="8" t="s">
        <v>49</v>
      </c>
      <c r="B964" s="9" t="s">
        <v>50</v>
      </c>
      <c r="C964" s="16">
        <v>30.2</v>
      </c>
      <c r="D964" s="16">
        <f>E963</f>
        <v>225372</v>
      </c>
      <c r="E964" s="19">
        <f>ROUND(C964*D964/100,2)</f>
        <v>68062.34</v>
      </c>
    </row>
    <row r="965" spans="1:6" ht="11.25" customHeight="1" x14ac:dyDescent="0.2">
      <c r="A965" s="8" t="s">
        <v>51</v>
      </c>
      <c r="B965" s="9" t="s">
        <v>52</v>
      </c>
      <c r="C965" s="16"/>
      <c r="D965" s="16"/>
      <c r="E965" s="19">
        <f>E963*0.2</f>
        <v>45074.400000000001</v>
      </c>
    </row>
    <row r="966" spans="1:6" ht="11.25" customHeight="1" x14ac:dyDescent="0.2">
      <c r="A966" s="8" t="s">
        <v>53</v>
      </c>
      <c r="B966" s="9" t="s">
        <v>54</v>
      </c>
      <c r="C966" s="16"/>
      <c r="D966" s="16"/>
      <c r="E966" s="19">
        <f>E963*0.05</f>
        <v>11268.6</v>
      </c>
    </row>
    <row r="967" spans="1:6" ht="20.100000000000001" customHeight="1" x14ac:dyDescent="0.2">
      <c r="A967" s="5">
        <v>2</v>
      </c>
      <c r="B967" s="6" t="s">
        <v>57</v>
      </c>
      <c r="C967" s="16"/>
      <c r="D967" s="16"/>
      <c r="E967" s="17">
        <f>E968+E970+E971+E972+E973+E974+E969</f>
        <v>1083890.7999999998</v>
      </c>
    </row>
    <row r="968" spans="1:6" ht="11.25" customHeight="1" x14ac:dyDescent="0.2">
      <c r="A968" s="35" t="s">
        <v>58</v>
      </c>
      <c r="B968" s="9" t="s">
        <v>204</v>
      </c>
      <c r="C968" s="16">
        <v>646.70000000000005</v>
      </c>
      <c r="D968" s="16">
        <f>E968/C968</f>
        <v>177.97000154631203</v>
      </c>
      <c r="E968" s="19">
        <v>115093.2</v>
      </c>
    </row>
    <row r="969" spans="1:6" ht="11.25" customHeight="1" x14ac:dyDescent="0.2">
      <c r="A969" s="35" t="s">
        <v>60</v>
      </c>
      <c r="B969" s="9" t="s">
        <v>195</v>
      </c>
      <c r="C969" s="16">
        <v>646.70000000000005</v>
      </c>
      <c r="D969" s="16">
        <f>E969/C969</f>
        <v>219.63343126642954</v>
      </c>
      <c r="E969" s="19">
        <v>142036.94</v>
      </c>
    </row>
    <row r="970" spans="1:6" ht="11.25" customHeight="1" x14ac:dyDescent="0.2">
      <c r="A970" s="35" t="s">
        <v>62</v>
      </c>
      <c r="B970" s="9" t="s">
        <v>196</v>
      </c>
      <c r="C970" s="16">
        <v>205.16</v>
      </c>
      <c r="D970" s="16">
        <f>E970/C970</f>
        <v>848.40124780658994</v>
      </c>
      <c r="E970" s="19">
        <v>174058</v>
      </c>
    </row>
    <row r="971" spans="1:6" ht="11.25" customHeight="1" x14ac:dyDescent="0.2">
      <c r="A971" s="35" t="s">
        <v>64</v>
      </c>
      <c r="B971" s="9" t="s">
        <v>63</v>
      </c>
      <c r="C971" s="16">
        <f>E971/D971</f>
        <v>120239.28832951943</v>
      </c>
      <c r="D971" s="16">
        <v>4.37</v>
      </c>
      <c r="E971" s="19">
        <f>655500-144022.03+13967.72</f>
        <v>525445.68999999994</v>
      </c>
    </row>
    <row r="972" spans="1:6" ht="11.25" customHeight="1" x14ac:dyDescent="0.2">
      <c r="A972" s="35" t="s">
        <v>66</v>
      </c>
      <c r="B972" s="9" t="s">
        <v>65</v>
      </c>
      <c r="C972" s="16">
        <f>E972/D972</f>
        <v>1478.3422404933197</v>
      </c>
      <c r="D972" s="16">
        <v>68.11</v>
      </c>
      <c r="E972" s="19">
        <f>91092.47+9597.42</f>
        <v>100689.89</v>
      </c>
    </row>
    <row r="973" spans="1:6" ht="11.25" customHeight="1" x14ac:dyDescent="0.2">
      <c r="A973" s="35" t="s">
        <v>68</v>
      </c>
      <c r="B973" s="9" t="s">
        <v>69</v>
      </c>
      <c r="C973" s="16">
        <v>844.5</v>
      </c>
      <c r="D973" s="16">
        <f>E973/C973</f>
        <v>3.3499940793368861</v>
      </c>
      <c r="E973" s="19">
        <v>2829.07</v>
      </c>
    </row>
    <row r="974" spans="1:6" ht="11.25" customHeight="1" x14ac:dyDescent="0.2">
      <c r="A974" s="35" t="s">
        <v>70</v>
      </c>
      <c r="B974" s="9" t="s">
        <v>71</v>
      </c>
      <c r="C974" s="16">
        <v>126.24</v>
      </c>
      <c r="D974" s="16">
        <f>E974/C974</f>
        <v>188.03873574144487</v>
      </c>
      <c r="E974" s="19">
        <v>23738.01</v>
      </c>
    </row>
    <row r="975" spans="1:6" ht="20.100000000000001" customHeight="1" x14ac:dyDescent="0.2">
      <c r="A975" s="5">
        <v>3</v>
      </c>
      <c r="B975" s="6" t="s">
        <v>72</v>
      </c>
      <c r="C975" s="16"/>
      <c r="D975" s="16"/>
      <c r="E975" s="17">
        <f>E976+E977+E978+E979+E980+E981+E982+E983+E984+E986+E985</f>
        <v>831603.35976079945</v>
      </c>
    </row>
    <row r="976" spans="1:6" ht="11.25" customHeight="1" x14ac:dyDescent="0.2">
      <c r="A976" s="8" t="s">
        <v>73</v>
      </c>
      <c r="B976" s="9" t="s">
        <v>74</v>
      </c>
      <c r="C976" s="34">
        <v>4</v>
      </c>
      <c r="D976" s="16">
        <f>E976/C976/12</f>
        <v>9875.1720833333329</v>
      </c>
      <c r="E976" s="19">
        <v>474008.26</v>
      </c>
    </row>
    <row r="977" spans="1:6" ht="11.25" customHeight="1" x14ac:dyDescent="0.2">
      <c r="A977" s="8" t="s">
        <v>75</v>
      </c>
      <c r="B977" s="9" t="s">
        <v>76</v>
      </c>
      <c r="C977" s="34">
        <v>175</v>
      </c>
      <c r="D977" s="16">
        <f>E977/C977</f>
        <v>199.16022857142858</v>
      </c>
      <c r="E977" s="19">
        <v>34853.040000000001</v>
      </c>
    </row>
    <row r="978" spans="1:6" ht="11.25" customHeight="1" x14ac:dyDescent="0.2">
      <c r="A978" s="8" t="s">
        <v>77</v>
      </c>
      <c r="B978" s="9" t="s">
        <v>78</v>
      </c>
      <c r="C978" s="34">
        <v>2</v>
      </c>
      <c r="D978" s="16">
        <f>E978/2/12</f>
        <v>8949.2962499999994</v>
      </c>
      <c r="E978" s="19">
        <v>214783.11</v>
      </c>
    </row>
    <row r="979" spans="1:6" ht="11.25" customHeight="1" x14ac:dyDescent="0.2">
      <c r="A979" s="8" t="s">
        <v>79</v>
      </c>
      <c r="B979" s="9" t="s">
        <v>80</v>
      </c>
      <c r="C979" s="16">
        <v>10134.4</v>
      </c>
      <c r="D979" s="16">
        <f>E979/C979</f>
        <v>5.10728311493527</v>
      </c>
      <c r="E979" s="19">
        <v>51759.25</v>
      </c>
    </row>
    <row r="980" spans="1:6" ht="11.25" customHeight="1" x14ac:dyDescent="0.2">
      <c r="A980" s="8" t="s">
        <v>81</v>
      </c>
      <c r="B980" s="9" t="s">
        <v>82</v>
      </c>
      <c r="C980" s="34">
        <v>350</v>
      </c>
      <c r="D980" s="16">
        <f>E980/C980</f>
        <v>67.814885714285708</v>
      </c>
      <c r="E980" s="19">
        <v>23735.21</v>
      </c>
    </row>
    <row r="981" spans="1:6" ht="11.25" customHeight="1" x14ac:dyDescent="0.2">
      <c r="A981" s="8" t="s">
        <v>83</v>
      </c>
      <c r="B981" s="9" t="s">
        <v>194</v>
      </c>
      <c r="C981" s="34">
        <v>175</v>
      </c>
      <c r="D981" s="16">
        <f>E981/C981</f>
        <v>85.990285714285704</v>
      </c>
      <c r="E981" s="19">
        <v>15048.3</v>
      </c>
    </row>
    <row r="982" spans="1:6" ht="11.25" customHeight="1" x14ac:dyDescent="0.2">
      <c r="A982" s="8" t="s">
        <v>85</v>
      </c>
      <c r="B982" s="9" t="s">
        <v>86</v>
      </c>
      <c r="C982" s="16">
        <v>0.33</v>
      </c>
      <c r="D982" s="16">
        <f>E982/C982</f>
        <v>19206.272727272724</v>
      </c>
      <c r="E982" s="19">
        <v>6338.07</v>
      </c>
    </row>
    <row r="983" spans="1:6" ht="11.25" customHeight="1" x14ac:dyDescent="0.2">
      <c r="A983" s="8" t="s">
        <v>87</v>
      </c>
      <c r="B983" s="9" t="s">
        <v>88</v>
      </c>
      <c r="C983" s="16"/>
      <c r="D983" s="16"/>
      <c r="E983" s="19">
        <v>0</v>
      </c>
    </row>
    <row r="984" spans="1:6" ht="11.25" customHeight="1" x14ac:dyDescent="0.2">
      <c r="A984" s="8" t="s">
        <v>89</v>
      </c>
      <c r="B984" s="9" t="s">
        <v>90</v>
      </c>
      <c r="C984" s="16"/>
      <c r="D984" s="16"/>
      <c r="E984" s="19">
        <v>0</v>
      </c>
    </row>
    <row r="985" spans="1:6" ht="11.25" customHeight="1" x14ac:dyDescent="0.2">
      <c r="A985" s="8" t="s">
        <v>91</v>
      </c>
      <c r="B985" s="9" t="s">
        <v>202</v>
      </c>
      <c r="C985" s="34">
        <v>4</v>
      </c>
      <c r="D985" s="16">
        <f>E985/C985</f>
        <v>2769.5299401998955</v>
      </c>
      <c r="E985" s="19">
        <f>2826.16*4*1.2*0.81663515754</f>
        <v>11078.119760799582</v>
      </c>
    </row>
    <row r="986" spans="1:6" ht="11.25" customHeight="1" x14ac:dyDescent="0.2">
      <c r="A986" s="8" t="s">
        <v>203</v>
      </c>
      <c r="B986" s="9" t="s">
        <v>92</v>
      </c>
      <c r="C986" s="16"/>
      <c r="D986" s="16"/>
      <c r="E986" s="19">
        <v>0</v>
      </c>
    </row>
    <row r="987" spans="1:6" ht="15" customHeight="1" x14ac:dyDescent="0.2">
      <c r="A987" s="5">
        <v>4</v>
      </c>
      <c r="B987" s="6" t="s">
        <v>193</v>
      </c>
      <c r="C987" s="16"/>
      <c r="D987" s="16"/>
      <c r="E987" s="17">
        <f>F988/1.06*0.06</f>
        <v>199903.90822641505</v>
      </c>
    </row>
    <row r="988" spans="1:6" ht="18.75" customHeight="1" x14ac:dyDescent="0.2">
      <c r="A988" s="10"/>
      <c r="B988" s="11" t="s">
        <v>94</v>
      </c>
      <c r="C988" s="21"/>
      <c r="D988" s="21"/>
      <c r="E988" s="17">
        <f>E954+E967+E975+E987</f>
        <v>3531635.7079872144</v>
      </c>
      <c r="F988" s="25">
        <f>E941*29.04*12</f>
        <v>3531635.7119999994</v>
      </c>
    </row>
    <row r="989" spans="1:6" ht="15" customHeight="1" x14ac:dyDescent="0.25">
      <c r="A989" s="10"/>
      <c r="B989" s="11" t="s">
        <v>199</v>
      </c>
      <c r="C989" s="21"/>
      <c r="D989" s="21"/>
      <c r="E989" s="22">
        <v>29.04</v>
      </c>
    </row>
    <row r="990" spans="1:6" ht="10.95" customHeight="1" x14ac:dyDescent="0.2"/>
    <row r="991" spans="1:6" ht="10.95" customHeight="1" x14ac:dyDescent="0.2"/>
    <row r="992" spans="1:6" ht="10.95" customHeight="1" x14ac:dyDescent="0.2"/>
    <row r="993" spans="1:5" ht="15" customHeight="1" x14ac:dyDescent="0.25">
      <c r="B993" s="12" t="s">
        <v>96</v>
      </c>
    </row>
    <row r="994" spans="1:5" ht="12" customHeight="1" x14ac:dyDescent="0.2"/>
    <row r="995" spans="1:5" ht="13.2" customHeight="1" x14ac:dyDescent="0.25">
      <c r="B995" s="3" t="s">
        <v>97</v>
      </c>
    </row>
    <row r="996" spans="1:5" ht="7.95" customHeight="1" x14ac:dyDescent="0.2"/>
    <row r="997" spans="1:5" ht="12" customHeight="1" x14ac:dyDescent="0.25">
      <c r="B997" s="41" t="s">
        <v>100</v>
      </c>
      <c r="C997" s="41"/>
      <c r="D997" s="41"/>
      <c r="E997" s="41"/>
    </row>
    <row r="998" spans="1:5" ht="10.95" customHeight="1" x14ac:dyDescent="0.2"/>
    <row r="999" spans="1:5" ht="10.95" customHeight="1" x14ac:dyDescent="0.2"/>
    <row r="1000" spans="1:5" ht="10.95" customHeight="1" x14ac:dyDescent="0.2"/>
    <row r="1001" spans="1:5" ht="16.2" customHeight="1" x14ac:dyDescent="0.2">
      <c r="A1001" s="39" t="s">
        <v>0</v>
      </c>
      <c r="B1001" s="39"/>
      <c r="C1001" s="39"/>
      <c r="D1001" s="39"/>
      <c r="E1001" s="39"/>
    </row>
    <row r="1002" spans="1:5" ht="10.95" customHeight="1" x14ac:dyDescent="0.2">
      <c r="A1002" s="40" t="s">
        <v>1</v>
      </c>
      <c r="B1002" s="40"/>
      <c r="C1002" s="40"/>
      <c r="D1002" s="40"/>
      <c r="E1002" s="40"/>
    </row>
    <row r="1003" spans="1:5" ht="13.2" customHeight="1" x14ac:dyDescent="0.2">
      <c r="A1003" s="40" t="s">
        <v>200</v>
      </c>
      <c r="B1003" s="40"/>
      <c r="C1003" s="40"/>
      <c r="D1003" s="40"/>
      <c r="E1003" s="40"/>
    </row>
    <row r="1004" spans="1:5" ht="10.95" customHeight="1" x14ac:dyDescent="0.2"/>
    <row r="1005" spans="1:5" ht="10.95" customHeight="1" x14ac:dyDescent="0.2">
      <c r="C1005" s="42" t="s">
        <v>3</v>
      </c>
      <c r="D1005" s="42"/>
      <c r="E1005" s="42"/>
    </row>
    <row r="1006" spans="1:5" ht="12" customHeight="1" x14ac:dyDescent="0.2">
      <c r="D1006" s="26" t="s">
        <v>4</v>
      </c>
      <c r="E1006" s="24">
        <v>11248</v>
      </c>
    </row>
    <row r="1007" spans="1:5" ht="12" customHeight="1" x14ac:dyDescent="0.2">
      <c r="D1007" s="26" t="s">
        <v>5</v>
      </c>
      <c r="E1007" s="23">
        <v>1327.3</v>
      </c>
    </row>
    <row r="1008" spans="1:5" ht="12" customHeight="1" x14ac:dyDescent="0.2">
      <c r="D1008" s="26" t="s">
        <v>6</v>
      </c>
      <c r="E1008" s="30">
        <v>1</v>
      </c>
    </row>
    <row r="1009" spans="1:6" ht="12" customHeight="1" x14ac:dyDescent="0.2">
      <c r="D1009" s="26" t="s">
        <v>7</v>
      </c>
      <c r="E1009" s="30">
        <v>23</v>
      </c>
    </row>
    <row r="1010" spans="1:6" ht="12" customHeight="1" x14ac:dyDescent="0.2">
      <c r="D1010" s="26" t="s">
        <v>8</v>
      </c>
      <c r="E1010" s="30">
        <v>182</v>
      </c>
    </row>
    <row r="1011" spans="1:6" ht="12" customHeight="1" x14ac:dyDescent="0.2">
      <c r="D1011" s="26" t="s">
        <v>9</v>
      </c>
      <c r="E1011" s="30">
        <v>498</v>
      </c>
    </row>
    <row r="1012" spans="1:6" ht="12" customHeight="1" x14ac:dyDescent="0.2">
      <c r="D1012" s="26" t="s">
        <v>10</v>
      </c>
      <c r="E1012" s="30">
        <v>4</v>
      </c>
    </row>
    <row r="1013" spans="1:6" ht="12" customHeight="1" x14ac:dyDescent="0.2">
      <c r="D1013" s="26" t="s">
        <v>11</v>
      </c>
      <c r="E1013" s="30">
        <v>2</v>
      </c>
    </row>
    <row r="1014" spans="1:6" ht="12" customHeight="1" x14ac:dyDescent="0.2">
      <c r="D1014" s="26" t="s">
        <v>12</v>
      </c>
      <c r="E1014" s="30">
        <v>0</v>
      </c>
    </row>
    <row r="1015" spans="1:6" ht="12" customHeight="1" x14ac:dyDescent="0.2">
      <c r="D1015" s="26" t="s">
        <v>13</v>
      </c>
      <c r="E1015" s="30">
        <v>3555</v>
      </c>
    </row>
    <row r="1016" spans="1:6" ht="12" customHeight="1" x14ac:dyDescent="0.25">
      <c r="A1016" s="2" t="s">
        <v>14</v>
      </c>
      <c r="B1016" s="3" t="s">
        <v>117</v>
      </c>
    </row>
    <row r="1017" spans="1:6" ht="10.95" customHeight="1" x14ac:dyDescent="0.2"/>
    <row r="1018" spans="1:6" ht="45" customHeight="1" x14ac:dyDescent="0.2">
      <c r="A1018" s="4" t="s">
        <v>15</v>
      </c>
      <c r="B1018" s="4" t="s">
        <v>131</v>
      </c>
      <c r="C1018" s="27" t="s">
        <v>17</v>
      </c>
      <c r="D1018" s="27" t="s">
        <v>103</v>
      </c>
      <c r="E1018" s="27" t="s">
        <v>19</v>
      </c>
    </row>
    <row r="1019" spans="1:6" ht="31.5" customHeight="1" x14ac:dyDescent="0.2">
      <c r="A1019" s="5">
        <v>1</v>
      </c>
      <c r="B1019" s="6" t="s">
        <v>190</v>
      </c>
      <c r="C1019" s="16"/>
      <c r="D1019" s="16"/>
      <c r="E1019" s="17">
        <f>E1020+E1027</f>
        <v>1719728.0907999999</v>
      </c>
    </row>
    <row r="1020" spans="1:6" ht="15" customHeight="1" x14ac:dyDescent="0.2">
      <c r="A1020" s="7" t="s">
        <v>21</v>
      </c>
      <c r="B1020" s="6" t="s">
        <v>132</v>
      </c>
      <c r="C1020" s="16"/>
      <c r="D1020" s="16"/>
      <c r="E1020" s="17">
        <f>SUM(E1021:E1026)</f>
        <v>1243188.0079999999</v>
      </c>
    </row>
    <row r="1021" spans="1:6" ht="11.25" customHeight="1" x14ac:dyDescent="0.2">
      <c r="A1021" s="15" t="s">
        <v>23</v>
      </c>
      <c r="B1021" s="9" t="s">
        <v>34</v>
      </c>
      <c r="C1021" s="16">
        <v>2.94</v>
      </c>
      <c r="D1021" s="16">
        <v>18781</v>
      </c>
      <c r="E1021" s="19">
        <f>ROUND(C1021*D1021,2)*12</f>
        <v>662593.67999999993</v>
      </c>
      <c r="F1021" s="20"/>
    </row>
    <row r="1022" spans="1:6" ht="11.25" customHeight="1" x14ac:dyDescent="0.2">
      <c r="A1022" s="8" t="s">
        <v>31</v>
      </c>
      <c r="B1022" s="9" t="s">
        <v>36</v>
      </c>
      <c r="C1022" s="16">
        <v>1.1399999999999999</v>
      </c>
      <c r="D1022" s="16">
        <v>18781</v>
      </c>
      <c r="E1022" s="19">
        <f>ROUND(C1022*D1022,2)*12</f>
        <v>256924.08000000002</v>
      </c>
    </row>
    <row r="1023" spans="1:6" ht="11.25" customHeight="1" x14ac:dyDescent="0.2">
      <c r="A1023" s="8" t="s">
        <v>121</v>
      </c>
      <c r="B1023" s="9" t="s">
        <v>38</v>
      </c>
      <c r="C1023" s="16">
        <v>30.2</v>
      </c>
      <c r="D1023" s="16">
        <f>E1021</f>
        <v>662593.67999999993</v>
      </c>
      <c r="E1023" s="19">
        <f>ROUND(C1023*D1023/100,2)</f>
        <v>200103.29</v>
      </c>
    </row>
    <row r="1024" spans="1:6" ht="11.25" customHeight="1" x14ac:dyDescent="0.2">
      <c r="A1024" s="8" t="s">
        <v>186</v>
      </c>
      <c r="B1024" s="9" t="s">
        <v>40</v>
      </c>
      <c r="C1024" s="16">
        <v>30.2</v>
      </c>
      <c r="D1024" s="16">
        <f>E1022</f>
        <v>256924.08000000002</v>
      </c>
      <c r="E1024" s="19">
        <f>ROUND(C1024*D1024/100,2)</f>
        <v>77591.070000000007</v>
      </c>
    </row>
    <row r="1025" spans="1:6" ht="11.25" customHeight="1" x14ac:dyDescent="0.2">
      <c r="A1025" s="8" t="s">
        <v>187</v>
      </c>
      <c r="B1025" s="9" t="s">
        <v>42</v>
      </c>
      <c r="C1025" s="16"/>
      <c r="D1025" s="16"/>
      <c r="E1025" s="19">
        <f>E1021*0.05</f>
        <v>33129.684000000001</v>
      </c>
    </row>
    <row r="1026" spans="1:6" ht="11.25" customHeight="1" x14ac:dyDescent="0.2">
      <c r="A1026" s="8" t="s">
        <v>188</v>
      </c>
      <c r="B1026" s="9" t="s">
        <v>44</v>
      </c>
      <c r="C1026" s="16"/>
      <c r="D1026" s="16"/>
      <c r="E1026" s="19">
        <f>E1022*0.05</f>
        <v>12846.204000000002</v>
      </c>
    </row>
    <row r="1027" spans="1:6" ht="15" customHeight="1" x14ac:dyDescent="0.2">
      <c r="A1027" s="7" t="s">
        <v>45</v>
      </c>
      <c r="B1027" s="6" t="s">
        <v>189</v>
      </c>
      <c r="C1027" s="16"/>
      <c r="D1027" s="16"/>
      <c r="E1027" s="17">
        <f>E1028+E1029+E1030+E1031</f>
        <v>476540.08280000003</v>
      </c>
    </row>
    <row r="1028" spans="1:6" ht="11.25" customHeight="1" x14ac:dyDescent="0.2">
      <c r="A1028" s="8" t="s">
        <v>47</v>
      </c>
      <c r="B1028" s="9" t="s">
        <v>48</v>
      </c>
      <c r="C1028" s="16">
        <v>1.53</v>
      </c>
      <c r="D1028" s="16">
        <v>18781</v>
      </c>
      <c r="E1028" s="19">
        <f>ROUND(C1028*D1028,2)*12</f>
        <v>344819.16000000003</v>
      </c>
      <c r="F1028" s="20"/>
    </row>
    <row r="1029" spans="1:6" ht="11.25" customHeight="1" x14ac:dyDescent="0.2">
      <c r="A1029" s="8" t="s">
        <v>49</v>
      </c>
      <c r="B1029" s="9" t="s">
        <v>50</v>
      </c>
      <c r="C1029" s="16">
        <v>30.2</v>
      </c>
      <c r="D1029" s="16">
        <f>E1028</f>
        <v>344819.16000000003</v>
      </c>
      <c r="E1029" s="19">
        <f>ROUND(C1029*D1029/100,2)</f>
        <v>104135.39</v>
      </c>
    </row>
    <row r="1030" spans="1:6" ht="11.25" customHeight="1" x14ac:dyDescent="0.2">
      <c r="A1030" s="8" t="s">
        <v>51</v>
      </c>
      <c r="B1030" s="9" t="s">
        <v>52</v>
      </c>
      <c r="C1030" s="16"/>
      <c r="D1030" s="16"/>
      <c r="E1030" s="19">
        <f>E1028*0.03</f>
        <v>10344.5748</v>
      </c>
    </row>
    <row r="1031" spans="1:6" ht="11.25" customHeight="1" x14ac:dyDescent="0.2">
      <c r="A1031" s="8" t="s">
        <v>53</v>
      </c>
      <c r="B1031" s="9" t="s">
        <v>54</v>
      </c>
      <c r="C1031" s="16"/>
      <c r="D1031" s="16"/>
      <c r="E1031" s="19">
        <f>E1028*0.05</f>
        <v>17240.958000000002</v>
      </c>
    </row>
    <row r="1032" spans="1:6" ht="20.100000000000001" customHeight="1" x14ac:dyDescent="0.2">
      <c r="A1032" s="5">
        <v>2</v>
      </c>
      <c r="B1032" s="6" t="s">
        <v>57</v>
      </c>
      <c r="C1032" s="16"/>
      <c r="D1032" s="16"/>
      <c r="E1032" s="17">
        <f>E1033+E1035+E1036+E1037+E1038+E1039+E1034</f>
        <v>1010175.28</v>
      </c>
    </row>
    <row r="1033" spans="1:6" ht="11.25" customHeight="1" x14ac:dyDescent="0.2">
      <c r="A1033" s="35" t="s">
        <v>58</v>
      </c>
      <c r="B1033" s="9" t="s">
        <v>204</v>
      </c>
      <c r="C1033" s="16">
        <v>722.1</v>
      </c>
      <c r="D1033" s="16">
        <f>E1033/C1033</f>
        <v>177.97000415454923</v>
      </c>
      <c r="E1033" s="19">
        <v>128512.14</v>
      </c>
    </row>
    <row r="1034" spans="1:6" ht="11.25" customHeight="1" x14ac:dyDescent="0.2">
      <c r="A1034" s="35" t="s">
        <v>60</v>
      </c>
      <c r="B1034" s="9" t="s">
        <v>195</v>
      </c>
      <c r="C1034" s="16">
        <v>722.1</v>
      </c>
      <c r="D1034" s="16">
        <f>E1034/C1034</f>
        <v>219.63343027281539</v>
      </c>
      <c r="E1034" s="19">
        <v>158597.29999999999</v>
      </c>
    </row>
    <row r="1035" spans="1:6" ht="11.25" customHeight="1" x14ac:dyDescent="0.2">
      <c r="A1035" s="35" t="s">
        <v>62</v>
      </c>
      <c r="B1035" s="9" t="s">
        <v>196</v>
      </c>
      <c r="C1035" s="16">
        <v>229.08</v>
      </c>
      <c r="D1035" s="16">
        <f>E1035/C1035</f>
        <v>848.40125720272397</v>
      </c>
      <c r="E1035" s="19">
        <v>194351.76</v>
      </c>
    </row>
    <row r="1036" spans="1:6" ht="11.25" customHeight="1" x14ac:dyDescent="0.2">
      <c r="A1036" s="35" t="s">
        <v>64</v>
      </c>
      <c r="B1036" s="9" t="s">
        <v>63</v>
      </c>
      <c r="C1036" s="16">
        <f>E1036/D1036</f>
        <v>93553.258581235699</v>
      </c>
      <c r="D1036" s="16">
        <v>4.37</v>
      </c>
      <c r="E1036" s="19">
        <f>406410-11533.21+13950.95</f>
        <v>408827.74</v>
      </c>
    </row>
    <row r="1037" spans="1:6" ht="11.25" customHeight="1" x14ac:dyDescent="0.2">
      <c r="A1037" s="35" t="s">
        <v>66</v>
      </c>
      <c r="B1037" s="9" t="s">
        <v>65</v>
      </c>
      <c r="C1037" s="16">
        <f>E1037/D1037</f>
        <v>1385.1196593745412</v>
      </c>
      <c r="D1037" s="16">
        <v>68.11</v>
      </c>
      <c r="E1037" s="19">
        <v>94340.5</v>
      </c>
    </row>
    <row r="1038" spans="1:6" ht="11.25" customHeight="1" x14ac:dyDescent="0.2">
      <c r="A1038" s="35" t="s">
        <v>68</v>
      </c>
      <c r="B1038" s="9" t="s">
        <v>69</v>
      </c>
      <c r="C1038" s="16">
        <v>834.9</v>
      </c>
      <c r="D1038" s="16">
        <f>E1038/C1038</f>
        <v>3.3499940112588331</v>
      </c>
      <c r="E1038" s="19">
        <v>2796.91</v>
      </c>
    </row>
    <row r="1039" spans="1:6" ht="11.25" customHeight="1" x14ac:dyDescent="0.2">
      <c r="A1039" s="35" t="s">
        <v>70</v>
      </c>
      <c r="B1039" s="9" t="s">
        <v>71</v>
      </c>
      <c r="C1039" s="16">
        <v>120.98</v>
      </c>
      <c r="D1039" s="16">
        <f>E1039/C1039</f>
        <v>188.03876673830385</v>
      </c>
      <c r="E1039" s="19">
        <v>22748.93</v>
      </c>
    </row>
    <row r="1040" spans="1:6" ht="20.100000000000001" customHeight="1" x14ac:dyDescent="0.2">
      <c r="A1040" s="5">
        <v>3</v>
      </c>
      <c r="B1040" s="6" t="s">
        <v>72</v>
      </c>
      <c r="C1040" s="16"/>
      <c r="D1040" s="16"/>
      <c r="E1040" s="17">
        <f>E1041+E1042+E1043+E1044+E1045+E1046+E1047+E1048+E1049+E1051+E1050</f>
        <v>833463.02976079949</v>
      </c>
    </row>
    <row r="1041" spans="1:6" ht="11.25" customHeight="1" x14ac:dyDescent="0.2">
      <c r="A1041" s="8" t="s">
        <v>73</v>
      </c>
      <c r="B1041" s="9" t="s">
        <v>74</v>
      </c>
      <c r="C1041" s="34">
        <v>4</v>
      </c>
      <c r="D1041" s="16">
        <f>E1041/C1041/12</f>
        <v>9875.1720833333329</v>
      </c>
      <c r="E1041" s="19">
        <v>474008.26</v>
      </c>
    </row>
    <row r="1042" spans="1:6" ht="11.25" customHeight="1" x14ac:dyDescent="0.2">
      <c r="A1042" s="8" t="s">
        <v>75</v>
      </c>
      <c r="B1042" s="9" t="s">
        <v>76</v>
      </c>
      <c r="C1042" s="34">
        <v>177</v>
      </c>
      <c r="D1042" s="16">
        <f>E1042/C1042</f>
        <v>199.16022598870057</v>
      </c>
      <c r="E1042" s="19">
        <v>35251.360000000001</v>
      </c>
    </row>
    <row r="1043" spans="1:6" ht="11.25" customHeight="1" x14ac:dyDescent="0.2">
      <c r="A1043" s="8" t="s">
        <v>77</v>
      </c>
      <c r="B1043" s="9" t="s">
        <v>78</v>
      </c>
      <c r="C1043" s="34">
        <v>2</v>
      </c>
      <c r="D1043" s="16">
        <f>E1043/C1043/12</f>
        <v>8949.2962499999994</v>
      </c>
      <c r="E1043" s="19">
        <v>214783.11</v>
      </c>
    </row>
    <row r="1044" spans="1:6" ht="11.25" customHeight="1" x14ac:dyDescent="0.2">
      <c r="A1044" s="8" t="s">
        <v>79</v>
      </c>
      <c r="B1044" s="9" t="s">
        <v>80</v>
      </c>
      <c r="C1044" s="16">
        <f>E1006</f>
        <v>11248</v>
      </c>
      <c r="D1044" s="16">
        <f>E1044/C1044</f>
        <v>4.6397910739687056</v>
      </c>
      <c r="E1044" s="19">
        <v>52188.37</v>
      </c>
    </row>
    <row r="1045" spans="1:6" ht="11.25" customHeight="1" x14ac:dyDescent="0.2">
      <c r="A1045" s="8" t="s">
        <v>81</v>
      </c>
      <c r="B1045" s="9" t="s">
        <v>82</v>
      </c>
      <c r="C1045" s="34">
        <v>364</v>
      </c>
      <c r="D1045" s="16">
        <f>E1045/C1045</f>
        <v>67.622225274725281</v>
      </c>
      <c r="E1045" s="19">
        <v>24614.49</v>
      </c>
    </row>
    <row r="1046" spans="1:6" ht="11.25" customHeight="1" x14ac:dyDescent="0.2">
      <c r="A1046" s="8" t="s">
        <v>83</v>
      </c>
      <c r="B1046" s="9" t="s">
        <v>194</v>
      </c>
      <c r="C1046" s="34">
        <v>177</v>
      </c>
      <c r="D1046" s="16">
        <f>E1046/C1046</f>
        <v>85.882768361581924</v>
      </c>
      <c r="E1046" s="19">
        <v>15201.25</v>
      </c>
    </row>
    <row r="1047" spans="1:6" ht="11.25" customHeight="1" x14ac:dyDescent="0.2">
      <c r="A1047" s="8" t="s">
        <v>85</v>
      </c>
      <c r="B1047" s="9" t="s">
        <v>86</v>
      </c>
      <c r="C1047" s="16">
        <v>0.33</v>
      </c>
      <c r="D1047" s="16">
        <f>E1047/C1047</f>
        <v>19206.272727272724</v>
      </c>
      <c r="E1047" s="19">
        <v>6338.07</v>
      </c>
    </row>
    <row r="1048" spans="1:6" ht="11.25" customHeight="1" x14ac:dyDescent="0.2">
      <c r="A1048" s="8" t="s">
        <v>87</v>
      </c>
      <c r="B1048" s="9" t="s">
        <v>88</v>
      </c>
      <c r="C1048" s="16"/>
      <c r="D1048" s="16"/>
      <c r="E1048" s="19">
        <v>0</v>
      </c>
    </row>
    <row r="1049" spans="1:6" ht="11.25" customHeight="1" x14ac:dyDescent="0.2">
      <c r="A1049" s="8" t="s">
        <v>89</v>
      </c>
      <c r="B1049" s="9" t="s">
        <v>90</v>
      </c>
      <c r="C1049" s="16"/>
      <c r="D1049" s="16"/>
      <c r="E1049" s="19">
        <v>0</v>
      </c>
    </row>
    <row r="1050" spans="1:6" ht="11.25" customHeight="1" x14ac:dyDescent="0.2">
      <c r="A1050" s="8" t="s">
        <v>91</v>
      </c>
      <c r="B1050" s="9" t="s">
        <v>202</v>
      </c>
      <c r="C1050" s="34">
        <v>4</v>
      </c>
      <c r="D1050" s="16">
        <f>E1050/C1050</f>
        <v>2769.5299401998955</v>
      </c>
      <c r="E1050" s="19">
        <f>2826.16*4*1.2*0.81663515754</f>
        <v>11078.119760799582</v>
      </c>
    </row>
    <row r="1051" spans="1:6" ht="11.25" customHeight="1" x14ac:dyDescent="0.2">
      <c r="A1051" s="8" t="s">
        <v>203</v>
      </c>
      <c r="B1051" s="9" t="s">
        <v>92</v>
      </c>
      <c r="C1051" s="16"/>
      <c r="D1051" s="16"/>
      <c r="E1051" s="19">
        <v>0</v>
      </c>
    </row>
    <row r="1052" spans="1:6" ht="15" customHeight="1" x14ac:dyDescent="0.2">
      <c r="A1052" s="5">
        <v>4</v>
      </c>
      <c r="B1052" s="6" t="s">
        <v>193</v>
      </c>
      <c r="C1052" s="16"/>
      <c r="D1052" s="16"/>
      <c r="E1052" s="17">
        <f>F1053/1.1*0.1</f>
        <v>356336.64000000001</v>
      </c>
    </row>
    <row r="1053" spans="1:6" ht="18.75" customHeight="1" x14ac:dyDescent="0.2">
      <c r="A1053" s="10"/>
      <c r="B1053" s="11" t="s">
        <v>94</v>
      </c>
      <c r="C1053" s="21"/>
      <c r="D1053" s="21"/>
      <c r="E1053" s="17">
        <f>E1019+E1032+E1040+E1052</f>
        <v>3919703.0405607992</v>
      </c>
      <c r="F1053" s="25">
        <f>E1006*29.04*12</f>
        <v>3919703.04</v>
      </c>
    </row>
    <row r="1054" spans="1:6" ht="15" customHeight="1" x14ac:dyDescent="0.25">
      <c r="A1054" s="10"/>
      <c r="B1054" s="11" t="s">
        <v>199</v>
      </c>
      <c r="C1054" s="21"/>
      <c r="D1054" s="21"/>
      <c r="E1054" s="22">
        <v>29.04</v>
      </c>
    </row>
    <row r="1055" spans="1:6" ht="10.95" customHeight="1" x14ac:dyDescent="0.2"/>
    <row r="1056" spans="1:6" ht="10.95" customHeight="1" x14ac:dyDescent="0.2"/>
    <row r="1057" spans="1:5" ht="10.95" customHeight="1" x14ac:dyDescent="0.2"/>
    <row r="1058" spans="1:5" ht="15" customHeight="1" x14ac:dyDescent="0.25">
      <c r="B1058" s="12" t="s">
        <v>96</v>
      </c>
    </row>
    <row r="1059" spans="1:5" ht="12" customHeight="1" x14ac:dyDescent="0.2"/>
    <row r="1060" spans="1:5" ht="13.2" customHeight="1" x14ac:dyDescent="0.25">
      <c r="B1060" s="3" t="s">
        <v>97</v>
      </c>
    </row>
    <row r="1061" spans="1:5" ht="7.95" customHeight="1" x14ac:dyDescent="0.2"/>
    <row r="1062" spans="1:5" ht="7.95" customHeight="1" x14ac:dyDescent="0.2"/>
    <row r="1063" spans="1:5" ht="12" customHeight="1" x14ac:dyDescent="0.25">
      <c r="B1063" s="41" t="s">
        <v>100</v>
      </c>
      <c r="C1063" s="41"/>
      <c r="D1063" s="41"/>
      <c r="E1063" s="41"/>
    </row>
    <row r="1064" spans="1:5" ht="10.95" customHeight="1" x14ac:dyDescent="0.2"/>
    <row r="1065" spans="1:5" ht="10.95" customHeight="1" x14ac:dyDescent="0.2"/>
    <row r="1066" spans="1:5" ht="10.95" customHeight="1" x14ac:dyDescent="0.2"/>
    <row r="1067" spans="1:5" ht="16.2" customHeight="1" x14ac:dyDescent="0.2">
      <c r="A1067" s="39" t="s">
        <v>0</v>
      </c>
      <c r="B1067" s="39"/>
      <c r="C1067" s="39"/>
      <c r="D1067" s="39"/>
      <c r="E1067" s="39"/>
    </row>
    <row r="1068" spans="1:5" ht="10.95" customHeight="1" x14ac:dyDescent="0.2">
      <c r="A1068" s="40" t="s">
        <v>1</v>
      </c>
      <c r="B1068" s="40"/>
      <c r="C1068" s="40"/>
      <c r="D1068" s="40"/>
      <c r="E1068" s="40"/>
    </row>
    <row r="1069" spans="1:5" ht="13.2" customHeight="1" x14ac:dyDescent="0.2">
      <c r="A1069" s="40" t="s">
        <v>198</v>
      </c>
      <c r="B1069" s="40"/>
      <c r="C1069" s="40"/>
      <c r="D1069" s="40"/>
      <c r="E1069" s="40"/>
    </row>
    <row r="1070" spans="1:5" ht="10.95" customHeight="1" x14ac:dyDescent="0.2"/>
    <row r="1071" spans="1:5" ht="10.95" customHeight="1" x14ac:dyDescent="0.2">
      <c r="C1071" s="42" t="s">
        <v>3</v>
      </c>
      <c r="D1071" s="42"/>
      <c r="E1071" s="42"/>
    </row>
    <row r="1072" spans="1:5" ht="12" customHeight="1" x14ac:dyDescent="0.2">
      <c r="D1072" s="26" t="s">
        <v>4</v>
      </c>
      <c r="E1072" s="24">
        <v>4195.5</v>
      </c>
    </row>
    <row r="1073" spans="1:6" ht="12" customHeight="1" x14ac:dyDescent="0.2">
      <c r="D1073" s="26" t="s">
        <v>5</v>
      </c>
      <c r="E1073" s="23">
        <v>0</v>
      </c>
    </row>
    <row r="1074" spans="1:6" ht="12" customHeight="1" x14ac:dyDescent="0.2">
      <c r="D1074" s="26" t="s">
        <v>6</v>
      </c>
      <c r="E1074" s="30">
        <v>1</v>
      </c>
    </row>
    <row r="1075" spans="1:6" ht="12" customHeight="1" x14ac:dyDescent="0.2">
      <c r="D1075" s="26" t="s">
        <v>7</v>
      </c>
      <c r="E1075" s="30">
        <v>14</v>
      </c>
    </row>
    <row r="1076" spans="1:6" ht="12" customHeight="1" x14ac:dyDescent="0.2">
      <c r="D1076" s="26" t="s">
        <v>8</v>
      </c>
      <c r="E1076" s="30">
        <v>98</v>
      </c>
    </row>
    <row r="1077" spans="1:6" ht="12" customHeight="1" x14ac:dyDescent="0.2">
      <c r="D1077" s="26" t="s">
        <v>9</v>
      </c>
      <c r="E1077" s="30">
        <v>220</v>
      </c>
    </row>
    <row r="1078" spans="1:6" ht="12" customHeight="1" x14ac:dyDescent="0.2">
      <c r="D1078" s="26" t="s">
        <v>10</v>
      </c>
      <c r="E1078" s="30">
        <v>2</v>
      </c>
    </row>
    <row r="1079" spans="1:6" ht="12" customHeight="1" x14ac:dyDescent="0.2">
      <c r="D1079" s="26" t="s">
        <v>11</v>
      </c>
      <c r="E1079" s="30">
        <v>1</v>
      </c>
    </row>
    <row r="1080" spans="1:6" ht="12" customHeight="1" x14ac:dyDescent="0.2">
      <c r="D1080" s="26" t="s">
        <v>12</v>
      </c>
      <c r="E1080" s="30">
        <v>0</v>
      </c>
    </row>
    <row r="1081" spans="1:6" ht="12" customHeight="1" x14ac:dyDescent="0.2">
      <c r="D1081" s="26" t="s">
        <v>13</v>
      </c>
      <c r="E1081" s="30">
        <v>547</v>
      </c>
    </row>
    <row r="1082" spans="1:6" ht="12" customHeight="1" x14ac:dyDescent="0.25">
      <c r="A1082" s="2" t="s">
        <v>14</v>
      </c>
      <c r="B1082" s="3" t="s">
        <v>118</v>
      </c>
    </row>
    <row r="1083" spans="1:6" ht="10.95" customHeight="1" x14ac:dyDescent="0.2"/>
    <row r="1084" spans="1:6" ht="45" customHeight="1" x14ac:dyDescent="0.2">
      <c r="A1084" s="4" t="s">
        <v>15</v>
      </c>
      <c r="B1084" s="4" t="s">
        <v>131</v>
      </c>
      <c r="C1084" s="27" t="s">
        <v>17</v>
      </c>
      <c r="D1084" s="27" t="s">
        <v>103</v>
      </c>
      <c r="E1084" s="27" t="s">
        <v>19</v>
      </c>
    </row>
    <row r="1085" spans="1:6" ht="31.5" customHeight="1" x14ac:dyDescent="0.2">
      <c r="A1085" s="5">
        <v>1</v>
      </c>
      <c r="B1085" s="6" t="s">
        <v>190</v>
      </c>
      <c r="C1085" s="16"/>
      <c r="D1085" s="16"/>
      <c r="E1085" s="17">
        <f>E1086+E1093</f>
        <v>594567.39599999995</v>
      </c>
    </row>
    <row r="1086" spans="1:6" ht="15" customHeight="1" x14ac:dyDescent="0.2">
      <c r="A1086" s="7" t="s">
        <v>21</v>
      </c>
      <c r="B1086" s="6" t="s">
        <v>132</v>
      </c>
      <c r="C1086" s="16"/>
      <c r="D1086" s="16"/>
      <c r="E1086" s="17">
        <f>SUM(E1087:E1092)</f>
        <v>307749.97599999997</v>
      </c>
    </row>
    <row r="1087" spans="1:6" ht="11.25" customHeight="1" x14ac:dyDescent="0.2">
      <c r="A1087" s="15" t="s">
        <v>23</v>
      </c>
      <c r="B1087" s="9" t="s">
        <v>34</v>
      </c>
      <c r="C1087" s="16">
        <v>0.51</v>
      </c>
      <c r="D1087" s="16">
        <v>18781</v>
      </c>
      <c r="E1087" s="19">
        <f>ROUND(C1087*D1087,2)*12</f>
        <v>114939.72</v>
      </c>
      <c r="F1087" s="20"/>
    </row>
    <row r="1088" spans="1:6" ht="11.25" customHeight="1" x14ac:dyDescent="0.2">
      <c r="A1088" s="8" t="s">
        <v>31</v>
      </c>
      <c r="B1088" s="9" t="s">
        <v>36</v>
      </c>
      <c r="C1088" s="16">
        <v>0.5</v>
      </c>
      <c r="D1088" s="16">
        <v>18781</v>
      </c>
      <c r="E1088" s="19">
        <f>ROUND(C1088*D1088,2)*12</f>
        <v>112686</v>
      </c>
    </row>
    <row r="1089" spans="1:6" ht="11.25" customHeight="1" x14ac:dyDescent="0.2">
      <c r="A1089" s="8" t="s">
        <v>121</v>
      </c>
      <c r="B1089" s="9" t="s">
        <v>38</v>
      </c>
      <c r="C1089" s="16">
        <v>30.2</v>
      </c>
      <c r="D1089" s="16">
        <f>E1087</f>
        <v>114939.72</v>
      </c>
      <c r="E1089" s="19">
        <f>ROUND(C1089*D1089/100,2)</f>
        <v>34711.800000000003</v>
      </c>
    </row>
    <row r="1090" spans="1:6" ht="11.25" customHeight="1" x14ac:dyDescent="0.2">
      <c r="A1090" s="8" t="s">
        <v>186</v>
      </c>
      <c r="B1090" s="9" t="s">
        <v>40</v>
      </c>
      <c r="C1090" s="16">
        <v>30.2</v>
      </c>
      <c r="D1090" s="16">
        <f>E1088</f>
        <v>112686</v>
      </c>
      <c r="E1090" s="19">
        <f>ROUND(C1090*D1090/100,2)</f>
        <v>34031.17</v>
      </c>
    </row>
    <row r="1091" spans="1:6" ht="11.25" customHeight="1" x14ac:dyDescent="0.2">
      <c r="A1091" s="8" t="s">
        <v>187</v>
      </c>
      <c r="B1091" s="9" t="s">
        <v>42</v>
      </c>
      <c r="C1091" s="16"/>
      <c r="D1091" s="16"/>
      <c r="E1091" s="19">
        <f>E1087*0.05</f>
        <v>5746.9860000000008</v>
      </c>
    </row>
    <row r="1092" spans="1:6" ht="11.25" customHeight="1" x14ac:dyDescent="0.2">
      <c r="A1092" s="8" t="s">
        <v>188</v>
      </c>
      <c r="B1092" s="9" t="s">
        <v>44</v>
      </c>
      <c r="C1092" s="16"/>
      <c r="D1092" s="16"/>
      <c r="E1092" s="19">
        <f>E1088*0.05</f>
        <v>5634.3</v>
      </c>
    </row>
    <row r="1093" spans="1:6" ht="15" customHeight="1" x14ac:dyDescent="0.2">
      <c r="A1093" s="7" t="s">
        <v>45</v>
      </c>
      <c r="B1093" s="6" t="s">
        <v>189</v>
      </c>
      <c r="C1093" s="16"/>
      <c r="D1093" s="16"/>
      <c r="E1093" s="17">
        <f>E1094+E1095+E1096+E1097</f>
        <v>286817.42</v>
      </c>
    </row>
    <row r="1094" spans="1:6" ht="11.25" customHeight="1" x14ac:dyDescent="0.2">
      <c r="A1094" s="8" t="s">
        <v>47</v>
      </c>
      <c r="B1094" s="9" t="s">
        <v>48</v>
      </c>
      <c r="C1094" s="16">
        <v>0.82</v>
      </c>
      <c r="D1094" s="16">
        <v>18781</v>
      </c>
      <c r="E1094" s="19">
        <f>ROUND(C1094*D1094,2)*12</f>
        <v>184805.04</v>
      </c>
      <c r="F1094" s="20"/>
    </row>
    <row r="1095" spans="1:6" ht="11.25" customHeight="1" x14ac:dyDescent="0.2">
      <c r="A1095" s="8" t="s">
        <v>49</v>
      </c>
      <c r="B1095" s="9" t="s">
        <v>50</v>
      </c>
      <c r="C1095" s="16">
        <v>30.2</v>
      </c>
      <c r="D1095" s="16">
        <f>E1094</f>
        <v>184805.04</v>
      </c>
      <c r="E1095" s="19">
        <f>ROUND(C1095*D1095/100,2)</f>
        <v>55811.12</v>
      </c>
    </row>
    <row r="1096" spans="1:6" ht="11.25" customHeight="1" x14ac:dyDescent="0.2">
      <c r="A1096" s="8" t="s">
        <v>51</v>
      </c>
      <c r="B1096" s="9" t="s">
        <v>52</v>
      </c>
      <c r="C1096" s="16"/>
      <c r="D1096" s="16"/>
      <c r="E1096" s="19">
        <f>ROUND(E1094*0.2,2)</f>
        <v>36961.01</v>
      </c>
    </row>
    <row r="1097" spans="1:6" ht="11.25" customHeight="1" x14ac:dyDescent="0.2">
      <c r="A1097" s="8" t="s">
        <v>53</v>
      </c>
      <c r="B1097" s="9" t="s">
        <v>54</v>
      </c>
      <c r="C1097" s="16"/>
      <c r="D1097" s="16"/>
      <c r="E1097" s="19">
        <f>ROUND(E1094*0.05,2)</f>
        <v>9240.25</v>
      </c>
    </row>
    <row r="1098" spans="1:6" ht="20.100000000000001" customHeight="1" x14ac:dyDescent="0.2">
      <c r="A1098" s="5">
        <v>2</v>
      </c>
      <c r="B1098" s="6" t="s">
        <v>57</v>
      </c>
      <c r="C1098" s="16"/>
      <c r="D1098" s="16"/>
      <c r="E1098" s="17">
        <f>E1099+E1101+E1102+E1103+E1104+E1105+E1100</f>
        <v>480713.45</v>
      </c>
    </row>
    <row r="1099" spans="1:6" ht="11.25" customHeight="1" x14ac:dyDescent="0.2">
      <c r="A1099" s="35" t="s">
        <v>58</v>
      </c>
      <c r="B1099" s="9" t="s">
        <v>204</v>
      </c>
      <c r="C1099" s="16">
        <v>319</v>
      </c>
      <c r="D1099" s="16">
        <f>E1099/C1099</f>
        <v>177.97</v>
      </c>
      <c r="E1099" s="19">
        <v>56772.43</v>
      </c>
    </row>
    <row r="1100" spans="1:6" ht="11.25" customHeight="1" x14ac:dyDescent="0.2">
      <c r="A1100" s="35" t="s">
        <v>60</v>
      </c>
      <c r="B1100" s="9" t="s">
        <v>195</v>
      </c>
      <c r="C1100" s="16">
        <v>319</v>
      </c>
      <c r="D1100" s="16">
        <f>E1100/C1100</f>
        <v>219.63344827586209</v>
      </c>
      <c r="E1100" s="19">
        <v>70063.070000000007</v>
      </c>
    </row>
    <row r="1101" spans="1:6" ht="11.25" customHeight="1" x14ac:dyDescent="0.2">
      <c r="A1101" s="35" t="s">
        <v>62</v>
      </c>
      <c r="B1101" s="9" t="s">
        <v>196</v>
      </c>
      <c r="C1101" s="16">
        <v>101.2</v>
      </c>
      <c r="D1101" s="16">
        <f>E1101/C1101</f>
        <v>848.40128458498032</v>
      </c>
      <c r="E1101" s="19">
        <v>85858.21</v>
      </c>
    </row>
    <row r="1102" spans="1:6" ht="11.25" customHeight="1" x14ac:dyDescent="0.2">
      <c r="A1102" s="35" t="s">
        <v>64</v>
      </c>
      <c r="B1102" s="9" t="s">
        <v>63</v>
      </c>
      <c r="C1102" s="16">
        <f>E1102/D1102</f>
        <v>39101.983546617914</v>
      </c>
      <c r="D1102" s="16">
        <v>5.47</v>
      </c>
      <c r="E1102" s="19">
        <f>547000-327360.34-5751.81</f>
        <v>213887.84999999998</v>
      </c>
    </row>
    <row r="1103" spans="1:6" ht="11.25" customHeight="1" x14ac:dyDescent="0.2">
      <c r="A1103" s="35" t="s">
        <v>66</v>
      </c>
      <c r="B1103" s="9" t="s">
        <v>65</v>
      </c>
      <c r="C1103" s="16">
        <f>E1103/D1103</f>
        <v>671.30993980325945</v>
      </c>
      <c r="D1103" s="16">
        <v>68.11</v>
      </c>
      <c r="E1103" s="19">
        <v>45722.92</v>
      </c>
    </row>
    <row r="1104" spans="1:6" ht="11.25" customHeight="1" x14ac:dyDescent="0.2">
      <c r="A1104" s="35" t="s">
        <v>68</v>
      </c>
      <c r="B1104" s="9" t="s">
        <v>69</v>
      </c>
      <c r="C1104" s="16">
        <v>443.4</v>
      </c>
      <c r="D1104" s="16">
        <f>E1104/C1104</f>
        <v>3.3500000000000005</v>
      </c>
      <c r="E1104" s="19">
        <v>1485.39</v>
      </c>
    </row>
    <row r="1105" spans="1:6" ht="11.25" customHeight="1" x14ac:dyDescent="0.2">
      <c r="A1105" s="35" t="s">
        <v>70</v>
      </c>
      <c r="B1105" s="9" t="s">
        <v>71</v>
      </c>
      <c r="C1105" s="16">
        <v>36.82</v>
      </c>
      <c r="D1105" s="16">
        <f>E1105/C1105</f>
        <v>188.03856599674089</v>
      </c>
      <c r="E1105" s="19">
        <v>6923.58</v>
      </c>
    </row>
    <row r="1106" spans="1:6" ht="20.100000000000001" customHeight="1" x14ac:dyDescent="0.2">
      <c r="A1106" s="5">
        <v>3</v>
      </c>
      <c r="B1106" s="6" t="s">
        <v>72</v>
      </c>
      <c r="C1106" s="16"/>
      <c r="D1106" s="16"/>
      <c r="E1106" s="17">
        <f>E1107+E1108+E1109+E1110+E1111+E1112+E1113+E1114+E1115+E1117+E1116</f>
        <v>278467.14988039981</v>
      </c>
    </row>
    <row r="1107" spans="1:6" ht="11.25" customHeight="1" x14ac:dyDescent="0.2">
      <c r="A1107" s="8" t="s">
        <v>73</v>
      </c>
      <c r="B1107" s="9" t="s">
        <v>74</v>
      </c>
      <c r="C1107" s="34">
        <v>2</v>
      </c>
      <c r="D1107" s="16">
        <f>E1107/C1107/12</f>
        <v>5334.9000000000005</v>
      </c>
      <c r="E1107" s="19">
        <v>128037.6</v>
      </c>
    </row>
    <row r="1108" spans="1:6" ht="11.25" customHeight="1" x14ac:dyDescent="0.2">
      <c r="A1108" s="8" t="s">
        <v>75</v>
      </c>
      <c r="B1108" s="9" t="s">
        <v>76</v>
      </c>
      <c r="C1108" s="34"/>
      <c r="D1108" s="16"/>
      <c r="E1108" s="19">
        <v>0</v>
      </c>
    </row>
    <row r="1109" spans="1:6" ht="11.25" customHeight="1" x14ac:dyDescent="0.2">
      <c r="A1109" s="8" t="s">
        <v>77</v>
      </c>
      <c r="B1109" s="9" t="s">
        <v>78</v>
      </c>
      <c r="C1109" s="34">
        <v>1</v>
      </c>
      <c r="D1109" s="16">
        <f>E1109/12</f>
        <v>4345.7524999999996</v>
      </c>
      <c r="E1109" s="19">
        <v>52149.03</v>
      </c>
    </row>
    <row r="1110" spans="1:6" ht="11.25" customHeight="1" x14ac:dyDescent="0.2">
      <c r="A1110" s="8" t="s">
        <v>79</v>
      </c>
      <c r="B1110" s="9" t="s">
        <v>80</v>
      </c>
      <c r="C1110" s="16">
        <v>4195.5</v>
      </c>
      <c r="D1110" s="16">
        <f>E1110/C1110</f>
        <v>4.1501680371826959</v>
      </c>
      <c r="E1110" s="19">
        <v>17412.03</v>
      </c>
    </row>
    <row r="1111" spans="1:6" ht="11.25" customHeight="1" x14ac:dyDescent="0.2">
      <c r="A1111" s="8" t="s">
        <v>81</v>
      </c>
      <c r="B1111" s="9" t="s">
        <v>82</v>
      </c>
      <c r="C1111" s="34">
        <v>196</v>
      </c>
      <c r="D1111" s="16">
        <f>E1111/C1111</f>
        <v>68.324897959183673</v>
      </c>
      <c r="E1111" s="19">
        <v>13391.68</v>
      </c>
    </row>
    <row r="1112" spans="1:6" ht="11.25" customHeight="1" x14ac:dyDescent="0.2">
      <c r="A1112" s="8" t="s">
        <v>83</v>
      </c>
      <c r="B1112" s="9" t="s">
        <v>194</v>
      </c>
      <c r="C1112" s="34">
        <v>98</v>
      </c>
      <c r="D1112" s="16">
        <f>E1112/C1112</f>
        <v>87.398061224489794</v>
      </c>
      <c r="E1112" s="19">
        <v>8565.01</v>
      </c>
    </row>
    <row r="1113" spans="1:6" ht="11.25" customHeight="1" x14ac:dyDescent="0.2">
      <c r="A1113" s="8" t="s">
        <v>85</v>
      </c>
      <c r="B1113" s="9" t="s">
        <v>86</v>
      </c>
      <c r="C1113" s="16">
        <v>0.33</v>
      </c>
      <c r="D1113" s="16">
        <f>E1113/C1113</f>
        <v>19206.272727272724</v>
      </c>
      <c r="E1113" s="19">
        <v>6338.07</v>
      </c>
    </row>
    <row r="1114" spans="1:6" ht="11.25" customHeight="1" x14ac:dyDescent="0.2">
      <c r="A1114" s="8" t="s">
        <v>87</v>
      </c>
      <c r="B1114" s="9" t="s">
        <v>88</v>
      </c>
      <c r="C1114" s="34">
        <v>98</v>
      </c>
      <c r="D1114" s="16">
        <f>E1114/C1114</f>
        <v>479.94561224489792</v>
      </c>
      <c r="E1114" s="19">
        <v>47034.67</v>
      </c>
    </row>
    <row r="1115" spans="1:6" ht="11.25" customHeight="1" x14ac:dyDescent="0.2">
      <c r="A1115" s="8" t="s">
        <v>89</v>
      </c>
      <c r="B1115" s="9" t="s">
        <v>90</v>
      </c>
      <c r="C1115" s="16"/>
      <c r="D1115" s="16"/>
      <c r="E1115" s="19">
        <v>0</v>
      </c>
    </row>
    <row r="1116" spans="1:6" ht="11.25" customHeight="1" x14ac:dyDescent="0.2">
      <c r="A1116" s="8" t="s">
        <v>91</v>
      </c>
      <c r="B1116" s="9" t="s">
        <v>202</v>
      </c>
      <c r="C1116" s="34">
        <v>2</v>
      </c>
      <c r="D1116" s="16">
        <f>E1116/C1116</f>
        <v>2769.5299401998955</v>
      </c>
      <c r="E1116" s="19">
        <f>2826.16*2*1.2*0.81663515754</f>
        <v>5539.0598803997909</v>
      </c>
    </row>
    <row r="1117" spans="1:6" ht="11.25" customHeight="1" x14ac:dyDescent="0.2">
      <c r="A1117" s="8" t="s">
        <v>203</v>
      </c>
      <c r="B1117" s="9" t="s">
        <v>92</v>
      </c>
      <c r="C1117" s="16"/>
      <c r="D1117" s="16"/>
      <c r="E1117" s="19">
        <v>0</v>
      </c>
    </row>
    <row r="1118" spans="1:6" ht="15" customHeight="1" x14ac:dyDescent="0.2">
      <c r="A1118" s="5">
        <v>4</v>
      </c>
      <c r="B1118" s="6" t="s">
        <v>193</v>
      </c>
      <c r="C1118" s="16"/>
      <c r="D1118" s="16"/>
      <c r="E1118" s="17">
        <f>F1119/1.08*0.08</f>
        <v>108299.83999999998</v>
      </c>
    </row>
    <row r="1119" spans="1:6" ht="18.75" customHeight="1" x14ac:dyDescent="0.2">
      <c r="A1119" s="10"/>
      <c r="B1119" s="11" t="s">
        <v>94</v>
      </c>
      <c r="C1119" s="21"/>
      <c r="D1119" s="21"/>
      <c r="E1119" s="17">
        <f>E1085+E1098+E1106+E1118</f>
        <v>1462047.8358803999</v>
      </c>
      <c r="F1119" s="25">
        <f>E1072*29.04*12</f>
        <v>1462047.8399999999</v>
      </c>
    </row>
    <row r="1120" spans="1:6" ht="15" customHeight="1" x14ac:dyDescent="0.25">
      <c r="A1120" s="10"/>
      <c r="B1120" s="11" t="s">
        <v>199</v>
      </c>
      <c r="C1120" s="21"/>
      <c r="D1120" s="21"/>
      <c r="E1120" s="22">
        <v>29.04</v>
      </c>
    </row>
    <row r="1121" spans="1:5" ht="10.95" customHeight="1" x14ac:dyDescent="0.2"/>
    <row r="1122" spans="1:5" ht="10.95" customHeight="1" x14ac:dyDescent="0.2"/>
    <row r="1123" spans="1:5" ht="10.95" customHeight="1" x14ac:dyDescent="0.2"/>
    <row r="1124" spans="1:5" ht="15" customHeight="1" x14ac:dyDescent="0.25">
      <c r="B1124" s="12" t="s">
        <v>96</v>
      </c>
    </row>
    <row r="1125" spans="1:5" ht="12" customHeight="1" x14ac:dyDescent="0.2"/>
    <row r="1126" spans="1:5" ht="13.2" customHeight="1" x14ac:dyDescent="0.25">
      <c r="B1126" s="3" t="s">
        <v>97</v>
      </c>
    </row>
    <row r="1127" spans="1:5" ht="7.95" customHeight="1" x14ac:dyDescent="0.2"/>
    <row r="1128" spans="1:5" ht="12" customHeight="1" x14ac:dyDescent="0.25">
      <c r="B1128" s="41" t="s">
        <v>100</v>
      </c>
      <c r="C1128" s="41"/>
      <c r="D1128" s="41"/>
      <c r="E1128" s="41"/>
    </row>
    <row r="1129" spans="1:5" ht="10.95" customHeight="1" x14ac:dyDescent="0.2"/>
    <row r="1130" spans="1:5" ht="10.95" customHeight="1" x14ac:dyDescent="0.2"/>
    <row r="1131" spans="1:5" ht="10.95" customHeight="1" x14ac:dyDescent="0.2"/>
    <row r="1132" spans="1:5" ht="16.2" customHeight="1" x14ac:dyDescent="0.2">
      <c r="A1132" s="39" t="s">
        <v>0</v>
      </c>
      <c r="B1132" s="39"/>
      <c r="C1132" s="39"/>
      <c r="D1132" s="39"/>
      <c r="E1132" s="39"/>
    </row>
    <row r="1133" spans="1:5" ht="10.95" customHeight="1" x14ac:dyDescent="0.2">
      <c r="A1133" s="40" t="s">
        <v>1</v>
      </c>
      <c r="B1133" s="40"/>
      <c r="C1133" s="40"/>
      <c r="D1133" s="40"/>
      <c r="E1133" s="40"/>
    </row>
    <row r="1134" spans="1:5" ht="13.2" customHeight="1" x14ac:dyDescent="0.2">
      <c r="A1134" s="40" t="s">
        <v>198</v>
      </c>
      <c r="B1134" s="40"/>
      <c r="C1134" s="40"/>
      <c r="D1134" s="40"/>
      <c r="E1134" s="40"/>
    </row>
    <row r="1135" spans="1:5" ht="10.95" customHeight="1" x14ac:dyDescent="0.2"/>
    <row r="1136" spans="1:5" ht="10.95" customHeight="1" x14ac:dyDescent="0.2">
      <c r="C1136" s="42" t="s">
        <v>3</v>
      </c>
      <c r="D1136" s="42"/>
      <c r="E1136" s="42"/>
    </row>
    <row r="1137" spans="1:6" ht="12" customHeight="1" x14ac:dyDescent="0.2">
      <c r="D1137" s="26" t="s">
        <v>4</v>
      </c>
      <c r="E1137" s="24">
        <v>4018</v>
      </c>
    </row>
    <row r="1138" spans="1:6" ht="12" customHeight="1" x14ac:dyDescent="0.2">
      <c r="D1138" s="26" t="s">
        <v>5</v>
      </c>
      <c r="E1138" s="23">
        <v>1177.7</v>
      </c>
    </row>
    <row r="1139" spans="1:6" ht="12" customHeight="1" x14ac:dyDescent="0.2">
      <c r="D1139" s="26" t="s">
        <v>6</v>
      </c>
      <c r="E1139" s="30">
        <v>1</v>
      </c>
    </row>
    <row r="1140" spans="1:6" ht="12" customHeight="1" x14ac:dyDescent="0.2">
      <c r="D1140" s="26" t="s">
        <v>7</v>
      </c>
      <c r="E1140" s="30">
        <v>14</v>
      </c>
    </row>
    <row r="1141" spans="1:6" ht="12" customHeight="1" x14ac:dyDescent="0.2">
      <c r="D1141" s="26" t="s">
        <v>8</v>
      </c>
      <c r="E1141" s="30">
        <v>93</v>
      </c>
    </row>
    <row r="1142" spans="1:6" ht="12" customHeight="1" x14ac:dyDescent="0.2">
      <c r="D1142" s="26" t="s">
        <v>9</v>
      </c>
      <c r="E1142" s="30">
        <v>206</v>
      </c>
    </row>
    <row r="1143" spans="1:6" ht="12" customHeight="1" x14ac:dyDescent="0.2">
      <c r="D1143" s="26" t="s">
        <v>10</v>
      </c>
      <c r="E1143" s="30">
        <v>2</v>
      </c>
    </row>
    <row r="1144" spans="1:6" ht="12" customHeight="1" x14ac:dyDescent="0.2">
      <c r="D1144" s="26" t="s">
        <v>11</v>
      </c>
      <c r="E1144" s="30">
        <v>1</v>
      </c>
    </row>
    <row r="1145" spans="1:6" ht="12" customHeight="1" x14ac:dyDescent="0.2">
      <c r="D1145" s="26" t="s">
        <v>12</v>
      </c>
      <c r="E1145" s="30">
        <v>0</v>
      </c>
    </row>
    <row r="1146" spans="1:6" ht="12" customHeight="1" x14ac:dyDescent="0.2">
      <c r="D1146" s="26" t="s">
        <v>13</v>
      </c>
      <c r="E1146" s="30">
        <v>622</v>
      </c>
    </row>
    <row r="1147" spans="1:6" ht="12" customHeight="1" x14ac:dyDescent="0.25">
      <c r="A1147" s="2" t="s">
        <v>14</v>
      </c>
      <c r="B1147" s="3" t="s">
        <v>119</v>
      </c>
    </row>
    <row r="1148" spans="1:6" ht="10.95" customHeight="1" x14ac:dyDescent="0.2"/>
    <row r="1149" spans="1:6" ht="45" customHeight="1" x14ac:dyDescent="0.2">
      <c r="A1149" s="4" t="s">
        <v>15</v>
      </c>
      <c r="B1149" s="4" t="s">
        <v>131</v>
      </c>
      <c r="C1149" s="27" t="s">
        <v>17</v>
      </c>
      <c r="D1149" s="27" t="s">
        <v>103</v>
      </c>
      <c r="E1149" s="27" t="s">
        <v>19</v>
      </c>
    </row>
    <row r="1150" spans="1:6" ht="31.5" customHeight="1" x14ac:dyDescent="0.2">
      <c r="A1150" s="5">
        <v>1</v>
      </c>
      <c r="B1150" s="6" t="s">
        <v>190</v>
      </c>
      <c r="C1150" s="16"/>
      <c r="D1150" s="16"/>
      <c r="E1150" s="17">
        <f>E1151+E1158</f>
        <v>610253.28800000006</v>
      </c>
    </row>
    <row r="1151" spans="1:6" ht="15" customHeight="1" x14ac:dyDescent="0.2">
      <c r="A1151" s="7" t="s">
        <v>21</v>
      </c>
      <c r="B1151" s="6" t="s">
        <v>132</v>
      </c>
      <c r="C1151" s="16"/>
      <c r="D1151" s="16"/>
      <c r="E1151" s="17">
        <f>SUM(E1152:E1157)</f>
        <v>319938.09000000003</v>
      </c>
    </row>
    <row r="1152" spans="1:6" ht="11.25" customHeight="1" x14ac:dyDescent="0.2">
      <c r="A1152" s="15" t="s">
        <v>23</v>
      </c>
      <c r="B1152" s="9" t="s">
        <v>34</v>
      </c>
      <c r="C1152" s="16">
        <v>0.57999999999999996</v>
      </c>
      <c r="D1152" s="16">
        <v>18781</v>
      </c>
      <c r="E1152" s="19">
        <f>ROUND(C1152*D1152,2)*12</f>
        <v>130715.76</v>
      </c>
      <c r="F1152" s="20"/>
    </row>
    <row r="1153" spans="1:6" ht="11.25" customHeight="1" x14ac:dyDescent="0.2">
      <c r="A1153" s="8" t="s">
        <v>31</v>
      </c>
      <c r="B1153" s="9" t="s">
        <v>36</v>
      </c>
      <c r="C1153" s="16">
        <v>0.47</v>
      </c>
      <c r="D1153" s="16">
        <v>18781</v>
      </c>
      <c r="E1153" s="19">
        <f>ROUND(C1153*D1153,2)*12</f>
        <v>105924.84</v>
      </c>
    </row>
    <row r="1154" spans="1:6" ht="11.25" customHeight="1" x14ac:dyDescent="0.2">
      <c r="A1154" s="8" t="s">
        <v>121</v>
      </c>
      <c r="B1154" s="9" t="s">
        <v>38</v>
      </c>
      <c r="C1154" s="16">
        <v>30.2</v>
      </c>
      <c r="D1154" s="16">
        <f>E1152</f>
        <v>130715.76</v>
      </c>
      <c r="E1154" s="19">
        <f>ROUND(C1154*D1154/100,2)</f>
        <v>39476.160000000003</v>
      </c>
    </row>
    <row r="1155" spans="1:6" ht="11.25" customHeight="1" x14ac:dyDescent="0.2">
      <c r="A1155" s="8" t="s">
        <v>186</v>
      </c>
      <c r="B1155" s="9" t="s">
        <v>40</v>
      </c>
      <c r="C1155" s="16">
        <v>30.2</v>
      </c>
      <c r="D1155" s="16">
        <f>E1153</f>
        <v>105924.84</v>
      </c>
      <c r="E1155" s="19">
        <f>ROUND(C1155*D1155/100,2)</f>
        <v>31989.3</v>
      </c>
    </row>
    <row r="1156" spans="1:6" ht="11.25" customHeight="1" x14ac:dyDescent="0.2">
      <c r="A1156" s="8" t="s">
        <v>187</v>
      </c>
      <c r="B1156" s="9" t="s">
        <v>42</v>
      </c>
      <c r="C1156" s="16"/>
      <c r="D1156" s="16"/>
      <c r="E1156" s="19">
        <f>E1152*0.05</f>
        <v>6535.7880000000005</v>
      </c>
    </row>
    <row r="1157" spans="1:6" ht="11.25" customHeight="1" x14ac:dyDescent="0.2">
      <c r="A1157" s="8" t="s">
        <v>188</v>
      </c>
      <c r="B1157" s="9" t="s">
        <v>44</v>
      </c>
      <c r="C1157" s="16"/>
      <c r="D1157" s="16"/>
      <c r="E1157" s="19">
        <f>E1153*0.05</f>
        <v>5296.2420000000002</v>
      </c>
    </row>
    <row r="1158" spans="1:6" ht="15" customHeight="1" x14ac:dyDescent="0.2">
      <c r="A1158" s="7" t="s">
        <v>45</v>
      </c>
      <c r="B1158" s="6" t="s">
        <v>189</v>
      </c>
      <c r="C1158" s="16"/>
      <c r="D1158" s="16"/>
      <c r="E1158" s="17">
        <f>E1159+E1160+E1161+E1162</f>
        <v>290315.19800000003</v>
      </c>
    </row>
    <row r="1159" spans="1:6" ht="11.25" customHeight="1" x14ac:dyDescent="0.2">
      <c r="A1159" s="8" t="s">
        <v>47</v>
      </c>
      <c r="B1159" s="9" t="s">
        <v>48</v>
      </c>
      <c r="C1159" s="16">
        <v>0.83</v>
      </c>
      <c r="D1159" s="16">
        <v>18781</v>
      </c>
      <c r="E1159" s="19">
        <f>ROUND(C1159*D1159,2)*12</f>
        <v>187058.76</v>
      </c>
      <c r="F1159" s="20"/>
    </row>
    <row r="1160" spans="1:6" ht="11.25" customHeight="1" x14ac:dyDescent="0.2">
      <c r="A1160" s="8" t="s">
        <v>49</v>
      </c>
      <c r="B1160" s="9" t="s">
        <v>50</v>
      </c>
      <c r="C1160" s="16">
        <v>30.2</v>
      </c>
      <c r="D1160" s="16">
        <f>E1159</f>
        <v>187058.76</v>
      </c>
      <c r="E1160" s="19">
        <f>ROUND(C1160*D1160/100,2)</f>
        <v>56491.75</v>
      </c>
    </row>
    <row r="1161" spans="1:6" ht="11.25" customHeight="1" x14ac:dyDescent="0.2">
      <c r="A1161" s="8" t="s">
        <v>51</v>
      </c>
      <c r="B1161" s="9" t="s">
        <v>52</v>
      </c>
      <c r="C1161" s="16"/>
      <c r="D1161" s="16"/>
      <c r="E1161" s="19">
        <f>ROUND(E1159*0.2,2)</f>
        <v>37411.75</v>
      </c>
    </row>
    <row r="1162" spans="1:6" ht="11.25" customHeight="1" x14ac:dyDescent="0.2">
      <c r="A1162" s="8" t="s">
        <v>53</v>
      </c>
      <c r="B1162" s="9" t="s">
        <v>54</v>
      </c>
      <c r="C1162" s="16"/>
      <c r="D1162" s="16"/>
      <c r="E1162" s="19">
        <f>E1159*0.05</f>
        <v>9352.9380000000001</v>
      </c>
    </row>
    <row r="1163" spans="1:6" ht="20.100000000000001" customHeight="1" x14ac:dyDescent="0.2">
      <c r="A1163" s="5">
        <v>2</v>
      </c>
      <c r="B1163" s="6" t="s">
        <v>57</v>
      </c>
      <c r="C1163" s="16"/>
      <c r="D1163" s="16"/>
      <c r="E1163" s="17">
        <f>E1164+E1166+E1167+E1168+E1169+E1170+E1165</f>
        <v>406770.58</v>
      </c>
    </row>
    <row r="1164" spans="1:6" ht="11.25" customHeight="1" x14ac:dyDescent="0.2">
      <c r="A1164" s="35" t="s">
        <v>58</v>
      </c>
      <c r="B1164" s="9" t="s">
        <v>204</v>
      </c>
      <c r="C1164" s="16">
        <v>298.7</v>
      </c>
      <c r="D1164" s="16">
        <f>E1164/C1164</f>
        <v>177.97000334784065</v>
      </c>
      <c r="E1164" s="19">
        <v>53159.64</v>
      </c>
    </row>
    <row r="1165" spans="1:6" ht="11.25" customHeight="1" x14ac:dyDescent="0.2">
      <c r="A1165" s="35" t="s">
        <v>60</v>
      </c>
      <c r="B1165" s="9" t="s">
        <v>195</v>
      </c>
      <c r="C1165" s="16">
        <v>298.7</v>
      </c>
      <c r="D1165" s="16">
        <f>E1165/C1165</f>
        <v>219.63344492802142</v>
      </c>
      <c r="E1165" s="19">
        <v>65604.509999999995</v>
      </c>
    </row>
    <row r="1166" spans="1:6" ht="11.25" customHeight="1" x14ac:dyDescent="0.2">
      <c r="A1166" s="35" t="s">
        <v>62</v>
      </c>
      <c r="B1166" s="9" t="s">
        <v>196</v>
      </c>
      <c r="C1166" s="16">
        <v>94.76</v>
      </c>
      <c r="D1166" s="16">
        <f>E1166/C1166</f>
        <v>848.40122414520886</v>
      </c>
      <c r="E1166" s="19">
        <v>80394.5</v>
      </c>
    </row>
    <row r="1167" spans="1:6" ht="11.25" customHeight="1" x14ac:dyDescent="0.2">
      <c r="A1167" s="35" t="s">
        <v>64</v>
      </c>
      <c r="B1167" s="9" t="s">
        <v>63</v>
      </c>
      <c r="C1167" s="16">
        <f>E1167/D1167</f>
        <v>27924.50457038391</v>
      </c>
      <c r="D1167" s="16">
        <v>5.47</v>
      </c>
      <c r="E1167" s="19">
        <f>574350-428503.01+6900.05</f>
        <v>152747.03999999998</v>
      </c>
    </row>
    <row r="1168" spans="1:6" ht="11.25" customHeight="1" x14ac:dyDescent="0.2">
      <c r="A1168" s="35" t="s">
        <v>66</v>
      </c>
      <c r="B1168" s="9" t="s">
        <v>65</v>
      </c>
      <c r="C1168" s="16">
        <f>E1168/D1168</f>
        <v>691.91396270738517</v>
      </c>
      <c r="D1168" s="16">
        <v>68.11</v>
      </c>
      <c r="E1168" s="19">
        <v>47126.26</v>
      </c>
    </row>
    <row r="1169" spans="1:6" ht="11.25" customHeight="1" x14ac:dyDescent="0.2">
      <c r="A1169" s="35" t="s">
        <v>68</v>
      </c>
      <c r="B1169" s="9" t="s">
        <v>69</v>
      </c>
      <c r="C1169" s="16">
        <v>243.3</v>
      </c>
      <c r="D1169" s="16">
        <f>E1169/C1169</f>
        <v>3.3499794492396213</v>
      </c>
      <c r="E1169" s="19">
        <v>815.05</v>
      </c>
    </row>
    <row r="1170" spans="1:6" ht="11.25" customHeight="1" x14ac:dyDescent="0.2">
      <c r="A1170" s="35" t="s">
        <v>70</v>
      </c>
      <c r="B1170" s="9" t="s">
        <v>71</v>
      </c>
      <c r="C1170" s="16">
        <v>36.82</v>
      </c>
      <c r="D1170" s="16">
        <f>E1170/C1170</f>
        <v>188.03856599674089</v>
      </c>
      <c r="E1170" s="19">
        <v>6923.58</v>
      </c>
    </row>
    <row r="1171" spans="1:6" ht="20.100000000000001" customHeight="1" x14ac:dyDescent="0.2">
      <c r="A1171" s="5">
        <v>3</v>
      </c>
      <c r="B1171" s="6" t="s">
        <v>72</v>
      </c>
      <c r="C1171" s="16"/>
      <c r="D1171" s="16"/>
      <c r="E1171" s="17">
        <f>E1172+E1173+E1174+E1175+E1176+E1177+E1178+E1179+E1180+E1182+E1181</f>
        <v>279450.79988039978</v>
      </c>
    </row>
    <row r="1172" spans="1:6" ht="11.25" customHeight="1" x14ac:dyDescent="0.2">
      <c r="A1172" s="8" t="s">
        <v>73</v>
      </c>
      <c r="B1172" s="9" t="s">
        <v>74</v>
      </c>
      <c r="C1172" s="34">
        <v>2</v>
      </c>
      <c r="D1172" s="16">
        <f>E1172/C1172/12</f>
        <v>5334.9000000000005</v>
      </c>
      <c r="E1172" s="19">
        <v>128037.6</v>
      </c>
    </row>
    <row r="1173" spans="1:6" ht="11.25" customHeight="1" x14ac:dyDescent="0.2">
      <c r="A1173" s="8" t="s">
        <v>75</v>
      </c>
      <c r="B1173" s="9" t="s">
        <v>76</v>
      </c>
      <c r="C1173" s="34"/>
      <c r="D1173" s="16"/>
      <c r="E1173" s="19">
        <v>0</v>
      </c>
    </row>
    <row r="1174" spans="1:6" ht="11.25" customHeight="1" x14ac:dyDescent="0.2">
      <c r="A1174" s="8" t="s">
        <v>77</v>
      </c>
      <c r="B1174" s="9" t="s">
        <v>78</v>
      </c>
      <c r="C1174" s="34">
        <v>1</v>
      </c>
      <c r="D1174" s="16">
        <f>E1174/12</f>
        <v>4345.7524999999996</v>
      </c>
      <c r="E1174" s="19">
        <v>52149.03</v>
      </c>
    </row>
    <row r="1175" spans="1:6" ht="11.25" customHeight="1" x14ac:dyDescent="0.2">
      <c r="A1175" s="8" t="s">
        <v>79</v>
      </c>
      <c r="B1175" s="9" t="s">
        <v>80</v>
      </c>
      <c r="C1175" s="16">
        <v>4018</v>
      </c>
      <c r="D1175" s="16">
        <f>E1175/C1175</f>
        <v>5.3664808362369341</v>
      </c>
      <c r="E1175" s="19">
        <v>21562.52</v>
      </c>
    </row>
    <row r="1176" spans="1:6" ht="11.25" customHeight="1" x14ac:dyDescent="0.2">
      <c r="A1176" s="8" t="s">
        <v>81</v>
      </c>
      <c r="B1176" s="9" t="s">
        <v>82</v>
      </c>
      <c r="C1176" s="34">
        <v>186</v>
      </c>
      <c r="D1176" s="16">
        <f>E1176/C1176</f>
        <v>68.498817204301076</v>
      </c>
      <c r="E1176" s="19">
        <v>12740.78</v>
      </c>
    </row>
    <row r="1177" spans="1:6" ht="11.25" customHeight="1" x14ac:dyDescent="0.2">
      <c r="A1177" s="8" t="s">
        <v>83</v>
      </c>
      <c r="B1177" s="9" t="s">
        <v>194</v>
      </c>
      <c r="C1177" s="34">
        <v>93</v>
      </c>
      <c r="D1177" s="16">
        <f>E1177/C1177</f>
        <v>87.9852688172043</v>
      </c>
      <c r="E1177" s="19">
        <v>8182.63</v>
      </c>
    </row>
    <row r="1178" spans="1:6" ht="11.25" customHeight="1" x14ac:dyDescent="0.2">
      <c r="A1178" s="8" t="s">
        <v>85</v>
      </c>
      <c r="B1178" s="9" t="s">
        <v>86</v>
      </c>
      <c r="C1178" s="16">
        <v>0.33</v>
      </c>
      <c r="D1178" s="16">
        <f>E1178/C1178</f>
        <v>19206.272727272724</v>
      </c>
      <c r="E1178" s="19">
        <v>6338.07</v>
      </c>
    </row>
    <row r="1179" spans="1:6" ht="11.25" customHeight="1" x14ac:dyDescent="0.2">
      <c r="A1179" s="8" t="s">
        <v>87</v>
      </c>
      <c r="B1179" s="9" t="s">
        <v>88</v>
      </c>
      <c r="C1179" s="34">
        <v>93</v>
      </c>
      <c r="D1179" s="16">
        <f>E1179/C1179</f>
        <v>482.80763440860215</v>
      </c>
      <c r="E1179" s="19">
        <v>44901.11</v>
      </c>
    </row>
    <row r="1180" spans="1:6" ht="11.25" customHeight="1" x14ac:dyDescent="0.2">
      <c r="A1180" s="8" t="s">
        <v>89</v>
      </c>
      <c r="B1180" s="9" t="s">
        <v>90</v>
      </c>
      <c r="C1180" s="16"/>
      <c r="D1180" s="16"/>
      <c r="E1180" s="19">
        <v>0</v>
      </c>
    </row>
    <row r="1181" spans="1:6" ht="11.25" customHeight="1" x14ac:dyDescent="0.2">
      <c r="A1181" s="8" t="s">
        <v>91</v>
      </c>
      <c r="B1181" s="9" t="s">
        <v>202</v>
      </c>
      <c r="C1181" s="34">
        <v>2</v>
      </c>
      <c r="D1181" s="16">
        <f>E1181/C1181</f>
        <v>2769.5299401998955</v>
      </c>
      <c r="E1181" s="19">
        <f>2826.16*2*1.2*0.81663515754</f>
        <v>5539.0598803997909</v>
      </c>
    </row>
    <row r="1182" spans="1:6" ht="11.25" customHeight="1" x14ac:dyDescent="0.2">
      <c r="A1182" s="8" t="s">
        <v>203</v>
      </c>
      <c r="B1182" s="9" t="s">
        <v>92</v>
      </c>
      <c r="C1182" s="16"/>
      <c r="D1182" s="16"/>
      <c r="E1182" s="19">
        <v>0</v>
      </c>
    </row>
    <row r="1183" spans="1:6" ht="15" customHeight="1" x14ac:dyDescent="0.2">
      <c r="A1183" s="5">
        <v>4</v>
      </c>
      <c r="B1183" s="6" t="s">
        <v>193</v>
      </c>
      <c r="C1183" s="16"/>
      <c r="D1183" s="16"/>
      <c r="E1183" s="17">
        <f>ROUND(F1184/1.08*0.08,2)</f>
        <v>103717.97</v>
      </c>
    </row>
    <row r="1184" spans="1:6" ht="18.75" customHeight="1" x14ac:dyDescent="0.2">
      <c r="A1184" s="10"/>
      <c r="B1184" s="11" t="s">
        <v>94</v>
      </c>
      <c r="C1184" s="21"/>
      <c r="D1184" s="21"/>
      <c r="E1184" s="17">
        <f>E1150+E1163+E1171+E1183</f>
        <v>1400192.6378803998</v>
      </c>
      <c r="F1184" s="25">
        <f>E1137*29.04*12</f>
        <v>1400192.6400000001</v>
      </c>
    </row>
    <row r="1185" spans="1:5" ht="15" customHeight="1" x14ac:dyDescent="0.25">
      <c r="A1185" s="10"/>
      <c r="B1185" s="11" t="s">
        <v>199</v>
      </c>
      <c r="C1185" s="21"/>
      <c r="D1185" s="21"/>
      <c r="E1185" s="22">
        <v>29.04</v>
      </c>
    </row>
    <row r="1186" spans="1:5" ht="10.95" customHeight="1" x14ac:dyDescent="0.2"/>
    <row r="1187" spans="1:5" ht="10.95" customHeight="1" x14ac:dyDescent="0.2"/>
    <row r="1188" spans="1:5" ht="10.95" customHeight="1" x14ac:dyDescent="0.2"/>
    <row r="1189" spans="1:5" ht="15" customHeight="1" x14ac:dyDescent="0.25">
      <c r="B1189" s="12" t="s">
        <v>96</v>
      </c>
    </row>
    <row r="1190" spans="1:5" ht="12" customHeight="1" x14ac:dyDescent="0.2"/>
    <row r="1191" spans="1:5" ht="13.2" customHeight="1" x14ac:dyDescent="0.25">
      <c r="B1191" s="3" t="s">
        <v>97</v>
      </c>
    </row>
    <row r="1192" spans="1:5" ht="7.95" customHeight="1" x14ac:dyDescent="0.2"/>
    <row r="1193" spans="1:5" ht="12" customHeight="1" x14ac:dyDescent="0.25">
      <c r="B1193" s="41" t="s">
        <v>100</v>
      </c>
      <c r="C1193" s="41"/>
      <c r="D1193" s="41"/>
      <c r="E1193" s="41"/>
    </row>
    <row r="1194" spans="1:5" ht="10.95" customHeight="1" x14ac:dyDescent="0.2"/>
    <row r="1195" spans="1:5" ht="10.95" customHeight="1" x14ac:dyDescent="0.2"/>
    <row r="1196" spans="1:5" ht="10.95" customHeight="1" x14ac:dyDescent="0.2"/>
    <row r="1197" spans="1:5" ht="16.2" customHeight="1" x14ac:dyDescent="0.2">
      <c r="A1197" s="39" t="s">
        <v>0</v>
      </c>
      <c r="B1197" s="39"/>
      <c r="C1197" s="39"/>
      <c r="D1197" s="39"/>
      <c r="E1197" s="39"/>
    </row>
    <row r="1198" spans="1:5" ht="10.95" customHeight="1" x14ac:dyDescent="0.2">
      <c r="A1198" s="40" t="s">
        <v>1</v>
      </c>
      <c r="B1198" s="40"/>
      <c r="C1198" s="40"/>
      <c r="D1198" s="40"/>
      <c r="E1198" s="40"/>
    </row>
    <row r="1199" spans="1:5" ht="13.2" customHeight="1" x14ac:dyDescent="0.2">
      <c r="A1199" s="40" t="s">
        <v>198</v>
      </c>
      <c r="B1199" s="40"/>
      <c r="C1199" s="40"/>
      <c r="D1199" s="40"/>
      <c r="E1199" s="40"/>
    </row>
    <row r="1200" spans="1:5" ht="10.95" customHeight="1" x14ac:dyDescent="0.2"/>
    <row r="1201" spans="1:5" ht="10.95" customHeight="1" x14ac:dyDescent="0.2">
      <c r="C1201" s="42" t="s">
        <v>3</v>
      </c>
      <c r="D1201" s="42"/>
      <c r="E1201" s="42"/>
    </row>
    <row r="1202" spans="1:5" ht="12" customHeight="1" x14ac:dyDescent="0.2">
      <c r="D1202" s="26" t="s">
        <v>4</v>
      </c>
      <c r="E1202" s="24">
        <v>12580.7</v>
      </c>
    </row>
    <row r="1203" spans="1:5" ht="12" customHeight="1" x14ac:dyDescent="0.2">
      <c r="D1203" s="26" t="s">
        <v>5</v>
      </c>
      <c r="E1203" s="23">
        <v>0</v>
      </c>
    </row>
    <row r="1204" spans="1:5" ht="12" customHeight="1" x14ac:dyDescent="0.2">
      <c r="D1204" s="26" t="s">
        <v>6</v>
      </c>
      <c r="E1204" s="30">
        <v>7</v>
      </c>
    </row>
    <row r="1205" spans="1:5" ht="12" customHeight="1" x14ac:dyDescent="0.2">
      <c r="D1205" s="26" t="s">
        <v>7</v>
      </c>
      <c r="E1205" s="30">
        <v>9</v>
      </c>
    </row>
    <row r="1206" spans="1:5" ht="12" customHeight="1" x14ac:dyDescent="0.2">
      <c r="D1206" s="26" t="s">
        <v>8</v>
      </c>
      <c r="E1206" s="30">
        <v>251</v>
      </c>
    </row>
    <row r="1207" spans="1:5" ht="12" customHeight="1" x14ac:dyDescent="0.2">
      <c r="D1207" s="26" t="s">
        <v>9</v>
      </c>
      <c r="E1207" s="30">
        <v>568</v>
      </c>
    </row>
    <row r="1208" spans="1:5" ht="12" customHeight="1" x14ac:dyDescent="0.2">
      <c r="D1208" s="26" t="s">
        <v>10</v>
      </c>
      <c r="E1208" s="30">
        <v>7</v>
      </c>
    </row>
    <row r="1209" spans="1:5" ht="12" customHeight="1" x14ac:dyDescent="0.2">
      <c r="D1209" s="26" t="s">
        <v>11</v>
      </c>
      <c r="E1209" s="30">
        <v>0</v>
      </c>
    </row>
    <row r="1210" spans="1:5" ht="12" customHeight="1" x14ac:dyDescent="0.2">
      <c r="D1210" s="26" t="s">
        <v>12</v>
      </c>
      <c r="E1210" s="30">
        <v>0</v>
      </c>
    </row>
    <row r="1211" spans="1:5" ht="12" customHeight="1" x14ac:dyDescent="0.2">
      <c r="D1211" s="26" t="s">
        <v>13</v>
      </c>
      <c r="E1211" s="30">
        <v>1659</v>
      </c>
    </row>
    <row r="1212" spans="1:5" ht="12" customHeight="1" x14ac:dyDescent="0.25">
      <c r="A1212" s="2" t="s">
        <v>14</v>
      </c>
      <c r="B1212" s="3" t="s">
        <v>139</v>
      </c>
    </row>
    <row r="1213" spans="1:5" ht="10.95" customHeight="1" x14ac:dyDescent="0.2"/>
    <row r="1214" spans="1:5" ht="45" customHeight="1" x14ac:dyDescent="0.2">
      <c r="A1214" s="4" t="s">
        <v>15</v>
      </c>
      <c r="B1214" s="4" t="s">
        <v>131</v>
      </c>
      <c r="C1214" s="27" t="s">
        <v>17</v>
      </c>
      <c r="D1214" s="27" t="s">
        <v>103</v>
      </c>
      <c r="E1214" s="27" t="s">
        <v>19</v>
      </c>
    </row>
    <row r="1215" spans="1:5" ht="31.5" customHeight="1" x14ac:dyDescent="0.2">
      <c r="A1215" s="5">
        <v>1</v>
      </c>
      <c r="B1215" s="6" t="s">
        <v>190</v>
      </c>
      <c r="C1215" s="16"/>
      <c r="D1215" s="16"/>
      <c r="E1215" s="17">
        <f>E1216+E1223</f>
        <v>2492010.324</v>
      </c>
    </row>
    <row r="1216" spans="1:5" ht="15" customHeight="1" x14ac:dyDescent="0.2">
      <c r="A1216" s="7" t="s">
        <v>21</v>
      </c>
      <c r="B1216" s="6" t="s">
        <v>132</v>
      </c>
      <c r="C1216" s="16"/>
      <c r="D1216" s="16"/>
      <c r="E1216" s="17">
        <f>SUM(E1217:E1222)</f>
        <v>1017428.3759999999</v>
      </c>
    </row>
    <row r="1217" spans="1:6" ht="11.25" customHeight="1" x14ac:dyDescent="0.2">
      <c r="A1217" s="15" t="s">
        <v>23</v>
      </c>
      <c r="B1217" s="9" t="s">
        <v>34</v>
      </c>
      <c r="C1217" s="16">
        <v>1.89</v>
      </c>
      <c r="D1217" s="16">
        <v>18781</v>
      </c>
      <c r="E1217" s="19">
        <f>ROUND(C1217*D1217,2)*12</f>
        <v>425953.07999999996</v>
      </c>
      <c r="F1217" s="20"/>
    </row>
    <row r="1218" spans="1:6" ht="11.25" customHeight="1" x14ac:dyDescent="0.2">
      <c r="A1218" s="8" t="s">
        <v>31</v>
      </c>
      <c r="B1218" s="9" t="s">
        <v>36</v>
      </c>
      <c r="C1218" s="16">
        <v>1.33</v>
      </c>
      <c r="D1218" s="16">
        <v>18781</v>
      </c>
      <c r="E1218" s="19">
        <f>ROUND(C1218*D1218,2)*12</f>
        <v>299744.76</v>
      </c>
    </row>
    <row r="1219" spans="1:6" ht="11.25" customHeight="1" x14ac:dyDescent="0.2">
      <c r="A1219" s="8" t="s">
        <v>121</v>
      </c>
      <c r="B1219" s="9" t="s">
        <v>38</v>
      </c>
      <c r="C1219" s="16">
        <v>30.2</v>
      </c>
      <c r="D1219" s="16">
        <f>E1217</f>
        <v>425953.07999999996</v>
      </c>
      <c r="E1219" s="19">
        <f>ROUND(C1219*D1219/100,2)</f>
        <v>128637.83</v>
      </c>
    </row>
    <row r="1220" spans="1:6" ht="11.25" customHeight="1" x14ac:dyDescent="0.2">
      <c r="A1220" s="8" t="s">
        <v>186</v>
      </c>
      <c r="B1220" s="9" t="s">
        <v>40</v>
      </c>
      <c r="C1220" s="16">
        <v>30.2</v>
      </c>
      <c r="D1220" s="16">
        <f>E1218</f>
        <v>299744.76</v>
      </c>
      <c r="E1220" s="19">
        <f>ROUND(C1220*D1220/100,2)</f>
        <v>90522.92</v>
      </c>
    </row>
    <row r="1221" spans="1:6" ht="11.25" customHeight="1" x14ac:dyDescent="0.2">
      <c r="A1221" s="8" t="s">
        <v>187</v>
      </c>
      <c r="B1221" s="9" t="s">
        <v>42</v>
      </c>
      <c r="C1221" s="16"/>
      <c r="D1221" s="16"/>
      <c r="E1221" s="19">
        <f>ROUND(E1217*0.1,2)</f>
        <v>42595.31</v>
      </c>
    </row>
    <row r="1222" spans="1:6" ht="11.25" customHeight="1" x14ac:dyDescent="0.2">
      <c r="A1222" s="8" t="s">
        <v>188</v>
      </c>
      <c r="B1222" s="9" t="s">
        <v>44</v>
      </c>
      <c r="C1222" s="16"/>
      <c r="D1222" s="16"/>
      <c r="E1222" s="19">
        <f>E1218*0.1</f>
        <v>29974.476000000002</v>
      </c>
    </row>
    <row r="1223" spans="1:6" ht="15" customHeight="1" x14ac:dyDescent="0.2">
      <c r="A1223" s="7" t="s">
        <v>45</v>
      </c>
      <c r="B1223" s="6" t="s">
        <v>189</v>
      </c>
      <c r="C1223" s="16"/>
      <c r="D1223" s="16"/>
      <c r="E1223" s="17">
        <f>E1224+E1225+E1226+E1227</f>
        <v>1474581.9479999999</v>
      </c>
    </row>
    <row r="1224" spans="1:6" ht="11.25" customHeight="1" x14ac:dyDescent="0.2">
      <c r="A1224" s="8" t="s">
        <v>47</v>
      </c>
      <c r="B1224" s="9" t="s">
        <v>48</v>
      </c>
      <c r="C1224" s="16">
        <v>3.44</v>
      </c>
      <c r="D1224" s="16">
        <v>18781</v>
      </c>
      <c r="E1224" s="19">
        <f>ROUND(C1224*D1224,2)*12</f>
        <v>775279.67999999993</v>
      </c>
      <c r="F1224" s="20"/>
    </row>
    <row r="1225" spans="1:6" ht="11.25" customHeight="1" x14ac:dyDescent="0.2">
      <c r="A1225" s="8" t="s">
        <v>49</v>
      </c>
      <c r="B1225" s="9" t="s">
        <v>50</v>
      </c>
      <c r="C1225" s="16">
        <v>30.2</v>
      </c>
      <c r="D1225" s="16">
        <f>E1224</f>
        <v>775279.67999999993</v>
      </c>
      <c r="E1225" s="19">
        <f>ROUND(C1225*D1225/100,2)</f>
        <v>234134.46</v>
      </c>
    </row>
    <row r="1226" spans="1:6" ht="11.25" customHeight="1" x14ac:dyDescent="0.2">
      <c r="A1226" s="8" t="s">
        <v>51</v>
      </c>
      <c r="B1226" s="9" t="s">
        <v>52</v>
      </c>
      <c r="C1226" s="16"/>
      <c r="D1226" s="16"/>
      <c r="E1226" s="19">
        <f>E1224*0.5</f>
        <v>387639.83999999997</v>
      </c>
    </row>
    <row r="1227" spans="1:6" ht="11.25" customHeight="1" x14ac:dyDescent="0.2">
      <c r="A1227" s="8" t="s">
        <v>53</v>
      </c>
      <c r="B1227" s="9" t="s">
        <v>54</v>
      </c>
      <c r="C1227" s="16"/>
      <c r="D1227" s="16"/>
      <c r="E1227" s="19">
        <f>E1224*0.1</f>
        <v>77527.967999999993</v>
      </c>
    </row>
    <row r="1228" spans="1:6" ht="20.100000000000001" customHeight="1" x14ac:dyDescent="0.2">
      <c r="A1228" s="5">
        <v>2</v>
      </c>
      <c r="B1228" s="6" t="s">
        <v>57</v>
      </c>
      <c r="C1228" s="16"/>
      <c r="D1228" s="16"/>
      <c r="E1228" s="17">
        <f>E1229+E1231+E1232+E1233+E1234+E1235+E1230</f>
        <v>966956.41</v>
      </c>
    </row>
    <row r="1229" spans="1:6" ht="11.25" customHeight="1" x14ac:dyDescent="0.2">
      <c r="A1229" s="35" t="s">
        <v>58</v>
      </c>
      <c r="B1229" s="9" t="s">
        <v>204</v>
      </c>
      <c r="C1229" s="16">
        <v>823.6</v>
      </c>
      <c r="D1229" s="16">
        <f>E1229/C1229</f>
        <v>177.9699975716367</v>
      </c>
      <c r="E1229" s="19">
        <v>146576.09</v>
      </c>
    </row>
    <row r="1230" spans="1:6" ht="11.25" customHeight="1" x14ac:dyDescent="0.2">
      <c r="A1230" s="35" t="s">
        <v>60</v>
      </c>
      <c r="B1230" s="9" t="s">
        <v>195</v>
      </c>
      <c r="C1230" s="16">
        <v>823.6</v>
      </c>
      <c r="D1230" s="16">
        <f>E1230/C1230</f>
        <v>219.63343856240894</v>
      </c>
      <c r="E1230" s="19">
        <v>180890.1</v>
      </c>
    </row>
    <row r="1231" spans="1:6" ht="11.25" customHeight="1" x14ac:dyDescent="0.2">
      <c r="A1231" s="35" t="s">
        <v>62</v>
      </c>
      <c r="B1231" s="9" t="s">
        <v>196</v>
      </c>
      <c r="C1231" s="16">
        <v>261.27999999999997</v>
      </c>
      <c r="D1231" s="16">
        <f>E1231/C1231</f>
        <v>848.40125535823643</v>
      </c>
      <c r="E1231" s="19">
        <v>221670.28</v>
      </c>
    </row>
    <row r="1232" spans="1:6" ht="11.25" customHeight="1" x14ac:dyDescent="0.2">
      <c r="A1232" s="35" t="s">
        <v>64</v>
      </c>
      <c r="B1232" s="9" t="s">
        <v>63</v>
      </c>
      <c r="C1232" s="16">
        <f>E1232/D1232</f>
        <v>42491.639853747714</v>
      </c>
      <c r="D1232" s="16">
        <v>5.47</v>
      </c>
      <c r="E1232" s="19">
        <f>218800+13629.27</f>
        <v>232429.27</v>
      </c>
      <c r="F1232" s="20"/>
    </row>
    <row r="1233" spans="1:5" ht="11.25" customHeight="1" x14ac:dyDescent="0.2">
      <c r="A1233" s="35" t="s">
        <v>66</v>
      </c>
      <c r="B1233" s="9" t="s">
        <v>65</v>
      </c>
      <c r="C1233" s="16">
        <f>E1233/D1233</f>
        <v>2172.1513727793276</v>
      </c>
      <c r="D1233" s="16">
        <v>68.11</v>
      </c>
      <c r="E1233" s="19">
        <f>123677.75+24267.48</f>
        <v>147945.23000000001</v>
      </c>
    </row>
    <row r="1234" spans="1:5" ht="11.25" customHeight="1" x14ac:dyDescent="0.2">
      <c r="A1234" s="35" t="s">
        <v>68</v>
      </c>
      <c r="B1234" s="9" t="s">
        <v>69</v>
      </c>
      <c r="C1234" s="16">
        <v>1877.4</v>
      </c>
      <c r="D1234" s="16">
        <f>E1234/C1234</f>
        <v>3.3499999999999996</v>
      </c>
      <c r="E1234" s="19">
        <v>6289.29</v>
      </c>
    </row>
    <row r="1235" spans="1:5" ht="11.25" customHeight="1" x14ac:dyDescent="0.2">
      <c r="A1235" s="35" t="s">
        <v>70</v>
      </c>
      <c r="B1235" s="9" t="s">
        <v>71</v>
      </c>
      <c r="C1235" s="16">
        <v>165.69</v>
      </c>
      <c r="D1235" s="16">
        <f>E1235/C1235</f>
        <v>188.03880741143101</v>
      </c>
      <c r="E1235" s="19">
        <v>31156.15</v>
      </c>
    </row>
    <row r="1236" spans="1:5" ht="20.100000000000001" customHeight="1" x14ac:dyDescent="0.2">
      <c r="A1236" s="5">
        <v>3</v>
      </c>
      <c r="B1236" s="6" t="s">
        <v>72</v>
      </c>
      <c r="C1236" s="16"/>
      <c r="D1236" s="16"/>
      <c r="E1236" s="17">
        <f>E1237+E1238+E1239+E1240+E1241+E1242+E1243+E1244+E1245+E1247+E1246</f>
        <v>526598.6057009995</v>
      </c>
    </row>
    <row r="1237" spans="1:5" ht="11.25" customHeight="1" x14ac:dyDescent="0.2">
      <c r="A1237" s="8" t="s">
        <v>73</v>
      </c>
      <c r="B1237" s="9" t="s">
        <v>74</v>
      </c>
      <c r="C1237" s="34">
        <v>7</v>
      </c>
      <c r="D1237" s="16">
        <f>E1237/C1237/12</f>
        <v>3192.7320238095235</v>
      </c>
      <c r="E1237" s="19">
        <v>268189.49</v>
      </c>
    </row>
    <row r="1238" spans="1:5" ht="11.25" customHeight="1" x14ac:dyDescent="0.2">
      <c r="A1238" s="8" t="s">
        <v>75</v>
      </c>
      <c r="B1238" s="9" t="s">
        <v>76</v>
      </c>
      <c r="C1238" s="16"/>
      <c r="D1238" s="16"/>
      <c r="E1238" s="19">
        <v>0</v>
      </c>
    </row>
    <row r="1239" spans="1:5" ht="11.25" customHeight="1" x14ac:dyDescent="0.2">
      <c r="A1239" s="8" t="s">
        <v>77</v>
      </c>
      <c r="B1239" s="9" t="s">
        <v>78</v>
      </c>
      <c r="C1239" s="16"/>
      <c r="D1239" s="16"/>
      <c r="E1239" s="19">
        <v>0</v>
      </c>
    </row>
    <row r="1240" spans="1:5" ht="11.25" customHeight="1" x14ac:dyDescent="0.2">
      <c r="A1240" s="8" t="s">
        <v>79</v>
      </c>
      <c r="B1240" s="9" t="s">
        <v>80</v>
      </c>
      <c r="C1240" s="16">
        <v>12580.7</v>
      </c>
      <c r="D1240" s="16">
        <f>E1240/C1240</f>
        <v>4.1500695509788796</v>
      </c>
      <c r="E1240" s="19">
        <v>52210.78</v>
      </c>
    </row>
    <row r="1241" spans="1:5" ht="11.25" customHeight="1" x14ac:dyDescent="0.2">
      <c r="A1241" s="8" t="s">
        <v>81</v>
      </c>
      <c r="B1241" s="9" t="s">
        <v>82</v>
      </c>
      <c r="C1241" s="34">
        <v>502</v>
      </c>
      <c r="D1241" s="16">
        <f>E1241/C1241</f>
        <v>71.702729083665332</v>
      </c>
      <c r="E1241" s="19">
        <v>35994.769999999997</v>
      </c>
    </row>
    <row r="1242" spans="1:5" ht="11.25" customHeight="1" x14ac:dyDescent="0.2">
      <c r="A1242" s="8" t="s">
        <v>83</v>
      </c>
      <c r="B1242" s="9" t="s">
        <v>194</v>
      </c>
      <c r="C1242" s="34">
        <v>251</v>
      </c>
      <c r="D1242" s="16">
        <f>E1242/C1242</f>
        <v>86.110318725099603</v>
      </c>
      <c r="E1242" s="19">
        <v>21613.69</v>
      </c>
    </row>
    <row r="1243" spans="1:5" ht="11.25" customHeight="1" x14ac:dyDescent="0.2">
      <c r="A1243" s="8" t="s">
        <v>85</v>
      </c>
      <c r="B1243" s="9" t="s">
        <v>86</v>
      </c>
      <c r="C1243" s="34"/>
      <c r="D1243" s="16"/>
      <c r="E1243" s="19">
        <v>0</v>
      </c>
    </row>
    <row r="1244" spans="1:5" ht="11.25" customHeight="1" x14ac:dyDescent="0.2">
      <c r="A1244" s="8" t="s">
        <v>87</v>
      </c>
      <c r="B1244" s="9" t="s">
        <v>88</v>
      </c>
      <c r="C1244" s="34">
        <v>240</v>
      </c>
      <c r="D1244" s="16">
        <f>E1244/C1244</f>
        <v>543.6955416666666</v>
      </c>
      <c r="E1244" s="19">
        <v>130486.93</v>
      </c>
    </row>
    <row r="1245" spans="1:5" ht="11.25" customHeight="1" x14ac:dyDescent="0.2">
      <c r="A1245" s="8" t="s">
        <v>89</v>
      </c>
      <c r="B1245" s="9" t="s">
        <v>90</v>
      </c>
      <c r="C1245" s="16"/>
      <c r="D1245" s="16"/>
      <c r="E1245" s="19">
        <v>0</v>
      </c>
    </row>
    <row r="1246" spans="1:5" ht="11.25" customHeight="1" x14ac:dyDescent="0.2">
      <c r="A1246" s="8" t="s">
        <v>91</v>
      </c>
      <c r="B1246" s="9" t="s">
        <v>202</v>
      </c>
      <c r="C1246" s="34">
        <v>7</v>
      </c>
      <c r="D1246" s="16">
        <f>E1246/C1246</f>
        <v>2586.1351001427824</v>
      </c>
      <c r="E1246" s="19">
        <f>1773.04*2*1.2+2826.16*5*1.2*0.81663515754</f>
        <v>18102.945700999477</v>
      </c>
    </row>
    <row r="1247" spans="1:5" ht="11.25" customHeight="1" x14ac:dyDescent="0.2">
      <c r="A1247" s="8" t="s">
        <v>203</v>
      </c>
      <c r="B1247" s="9" t="s">
        <v>92</v>
      </c>
      <c r="C1247" s="16"/>
      <c r="D1247" s="16"/>
      <c r="E1247" s="19">
        <v>0</v>
      </c>
    </row>
    <row r="1248" spans="1:5" ht="15" customHeight="1" x14ac:dyDescent="0.2">
      <c r="A1248" s="5">
        <v>4</v>
      </c>
      <c r="B1248" s="6" t="s">
        <v>193</v>
      </c>
      <c r="C1248" s="16"/>
      <c r="D1248" s="16"/>
      <c r="E1248" s="17">
        <f>ROUND(F1249/1.1*0.1,)</f>
        <v>398557</v>
      </c>
    </row>
    <row r="1249" spans="1:6" ht="18.75" customHeight="1" x14ac:dyDescent="0.2">
      <c r="A1249" s="10"/>
      <c r="B1249" s="11" t="s">
        <v>94</v>
      </c>
      <c r="C1249" s="21"/>
      <c r="D1249" s="21"/>
      <c r="E1249" s="17">
        <f>E1215+E1228+E1236+E1248</f>
        <v>4384122.3397009997</v>
      </c>
      <c r="F1249" s="25">
        <f>E1202*29.04*12</f>
        <v>4384122.3360000001</v>
      </c>
    </row>
    <row r="1250" spans="1:6" ht="15" customHeight="1" x14ac:dyDescent="0.25">
      <c r="A1250" s="10"/>
      <c r="B1250" s="11" t="s">
        <v>199</v>
      </c>
      <c r="C1250" s="21"/>
      <c r="D1250" s="21"/>
      <c r="E1250" s="22">
        <v>29.04</v>
      </c>
    </row>
    <row r="1251" spans="1:6" ht="10.95" customHeight="1" x14ac:dyDescent="0.2"/>
    <row r="1252" spans="1:6" ht="10.95" customHeight="1" x14ac:dyDescent="0.2"/>
    <row r="1253" spans="1:6" ht="10.95" customHeight="1" x14ac:dyDescent="0.2"/>
    <row r="1254" spans="1:6" ht="15" customHeight="1" x14ac:dyDescent="0.25">
      <c r="B1254" s="12" t="s">
        <v>96</v>
      </c>
    </row>
    <row r="1255" spans="1:6" ht="12" customHeight="1" x14ac:dyDescent="0.2"/>
    <row r="1256" spans="1:6" ht="13.2" customHeight="1" x14ac:dyDescent="0.25">
      <c r="B1256" s="3" t="s">
        <v>97</v>
      </c>
    </row>
    <row r="1257" spans="1:6" ht="7.95" customHeight="1" x14ac:dyDescent="0.2"/>
    <row r="1258" spans="1:6" ht="12" customHeight="1" x14ac:dyDescent="0.25">
      <c r="B1258" s="41" t="s">
        <v>100</v>
      </c>
      <c r="C1258" s="41"/>
      <c r="D1258" s="41"/>
      <c r="E1258" s="41"/>
    </row>
    <row r="1259" spans="1:6" ht="10.95" customHeight="1" x14ac:dyDescent="0.2"/>
    <row r="1260" spans="1:6" ht="10.95" customHeight="1" x14ac:dyDescent="0.2"/>
    <row r="1261" spans="1:6" ht="10.95" customHeight="1" x14ac:dyDescent="0.2"/>
    <row r="1262" spans="1:6" ht="16.2" customHeight="1" x14ac:dyDescent="0.2">
      <c r="A1262" s="39" t="s">
        <v>0</v>
      </c>
      <c r="B1262" s="39"/>
      <c r="C1262" s="39"/>
      <c r="D1262" s="39"/>
      <c r="E1262" s="39"/>
    </row>
    <row r="1263" spans="1:6" ht="10.95" customHeight="1" x14ac:dyDescent="0.2">
      <c r="A1263" s="40" t="s">
        <v>1</v>
      </c>
      <c r="B1263" s="40"/>
      <c r="C1263" s="40"/>
      <c r="D1263" s="40"/>
      <c r="E1263" s="40"/>
    </row>
    <row r="1264" spans="1:6" ht="13.2" customHeight="1" x14ac:dyDescent="0.2">
      <c r="A1264" s="40" t="s">
        <v>197</v>
      </c>
      <c r="B1264" s="40"/>
      <c r="C1264" s="40"/>
      <c r="D1264" s="40"/>
      <c r="E1264" s="40"/>
    </row>
    <row r="1265" spans="1:5" ht="10.95" customHeight="1" x14ac:dyDescent="0.2"/>
    <row r="1266" spans="1:5" ht="10.95" customHeight="1" x14ac:dyDescent="0.2">
      <c r="C1266" s="42" t="s">
        <v>3</v>
      </c>
      <c r="D1266" s="42"/>
      <c r="E1266" s="42"/>
    </row>
    <row r="1267" spans="1:5" ht="12" customHeight="1" x14ac:dyDescent="0.2">
      <c r="D1267" s="26" t="s">
        <v>4</v>
      </c>
      <c r="E1267" s="24">
        <v>10986.5</v>
      </c>
    </row>
    <row r="1268" spans="1:5" ht="12" customHeight="1" x14ac:dyDescent="0.2">
      <c r="D1268" s="26" t="s">
        <v>5</v>
      </c>
      <c r="E1268" s="23">
        <v>0</v>
      </c>
    </row>
    <row r="1269" spans="1:5" ht="12" customHeight="1" x14ac:dyDescent="0.2">
      <c r="D1269" s="26" t="s">
        <v>6</v>
      </c>
      <c r="E1269" s="30">
        <v>6</v>
      </c>
    </row>
    <row r="1270" spans="1:5" ht="12" customHeight="1" x14ac:dyDescent="0.2">
      <c r="D1270" s="26" t="s">
        <v>7</v>
      </c>
      <c r="E1270" s="30">
        <v>9</v>
      </c>
    </row>
    <row r="1271" spans="1:5" ht="12" customHeight="1" x14ac:dyDescent="0.2">
      <c r="D1271" s="26" t="s">
        <v>8</v>
      </c>
      <c r="E1271" s="30">
        <v>215</v>
      </c>
    </row>
    <row r="1272" spans="1:5" ht="12" customHeight="1" x14ac:dyDescent="0.2">
      <c r="D1272" s="26" t="s">
        <v>9</v>
      </c>
      <c r="E1272" s="30">
        <v>557</v>
      </c>
    </row>
    <row r="1273" spans="1:5" ht="12" customHeight="1" x14ac:dyDescent="0.2">
      <c r="D1273" s="26" t="s">
        <v>10</v>
      </c>
      <c r="E1273" s="30">
        <v>6</v>
      </c>
    </row>
    <row r="1274" spans="1:5" ht="12" customHeight="1" x14ac:dyDescent="0.2">
      <c r="D1274" s="26" t="s">
        <v>11</v>
      </c>
      <c r="E1274" s="30">
        <v>0</v>
      </c>
    </row>
    <row r="1275" spans="1:5" ht="12" customHeight="1" x14ac:dyDescent="0.2">
      <c r="D1275" s="26" t="s">
        <v>12</v>
      </c>
      <c r="E1275" s="30">
        <v>0</v>
      </c>
    </row>
    <row r="1276" spans="1:5" ht="12" customHeight="1" x14ac:dyDescent="0.2">
      <c r="D1276" s="26" t="s">
        <v>13</v>
      </c>
      <c r="E1276" s="30">
        <v>1251</v>
      </c>
    </row>
    <row r="1277" spans="1:5" ht="12" customHeight="1" x14ac:dyDescent="0.25">
      <c r="A1277" s="2" t="s">
        <v>14</v>
      </c>
      <c r="B1277" s="3" t="s">
        <v>140</v>
      </c>
    </row>
    <row r="1278" spans="1:5" ht="10.95" customHeight="1" x14ac:dyDescent="0.2"/>
    <row r="1279" spans="1:5" ht="45" customHeight="1" x14ac:dyDescent="0.2">
      <c r="A1279" s="4" t="s">
        <v>15</v>
      </c>
      <c r="B1279" s="4" t="s">
        <v>131</v>
      </c>
      <c r="C1279" s="27" t="s">
        <v>17</v>
      </c>
      <c r="D1279" s="27" t="s">
        <v>103</v>
      </c>
      <c r="E1279" s="27" t="s">
        <v>19</v>
      </c>
    </row>
    <row r="1280" spans="1:5" ht="31.5" customHeight="1" x14ac:dyDescent="0.2">
      <c r="A1280" s="5">
        <v>1</v>
      </c>
      <c r="B1280" s="6" t="s">
        <v>190</v>
      </c>
      <c r="C1280" s="16"/>
      <c r="D1280" s="16"/>
      <c r="E1280" s="17">
        <f>E1281+E1288</f>
        <v>2152861.5260000001</v>
      </c>
    </row>
    <row r="1281" spans="1:6" ht="15" customHeight="1" x14ac:dyDescent="0.2">
      <c r="A1281" s="7" t="s">
        <v>21</v>
      </c>
      <c r="B1281" s="6" t="s">
        <v>132</v>
      </c>
      <c r="C1281" s="16"/>
      <c r="D1281" s="16"/>
      <c r="E1281" s="17">
        <f>SUM(E1282:E1287)</f>
        <v>862602.31600000011</v>
      </c>
    </row>
    <row r="1282" spans="1:6" ht="11.25" customHeight="1" x14ac:dyDescent="0.2">
      <c r="A1282" s="15" t="s">
        <v>23</v>
      </c>
      <c r="B1282" s="9" t="s">
        <v>34</v>
      </c>
      <c r="C1282" s="16">
        <v>1.43</v>
      </c>
      <c r="D1282" s="16">
        <v>18781</v>
      </c>
      <c r="E1282" s="19">
        <f>ROUND(C1282*D1282,2)*12</f>
        <v>322281.96000000002</v>
      </c>
      <c r="F1282" s="20"/>
    </row>
    <row r="1283" spans="1:6" ht="11.25" customHeight="1" x14ac:dyDescent="0.2">
      <c r="A1283" s="8" t="s">
        <v>31</v>
      </c>
      <c r="B1283" s="9" t="s">
        <v>36</v>
      </c>
      <c r="C1283" s="16">
        <v>1.3</v>
      </c>
      <c r="D1283" s="16">
        <v>18781</v>
      </c>
      <c r="E1283" s="19">
        <f>ROUND(C1283*D1283,2)*12</f>
        <v>292983.59999999998</v>
      </c>
    </row>
    <row r="1284" spans="1:6" ht="11.25" customHeight="1" x14ac:dyDescent="0.2">
      <c r="A1284" s="8" t="s">
        <v>121</v>
      </c>
      <c r="B1284" s="9" t="s">
        <v>38</v>
      </c>
      <c r="C1284" s="16">
        <v>30.2</v>
      </c>
      <c r="D1284" s="16">
        <f>E1282</f>
        <v>322281.96000000002</v>
      </c>
      <c r="E1284" s="19">
        <f>ROUND(C1284*D1284/100,2)</f>
        <v>97329.15</v>
      </c>
    </row>
    <row r="1285" spans="1:6" ht="11.25" customHeight="1" x14ac:dyDescent="0.2">
      <c r="A1285" s="8" t="s">
        <v>186</v>
      </c>
      <c r="B1285" s="9" t="s">
        <v>40</v>
      </c>
      <c r="C1285" s="16">
        <v>30.2</v>
      </c>
      <c r="D1285" s="16">
        <f>E1283</f>
        <v>292983.59999999998</v>
      </c>
      <c r="E1285" s="19">
        <f>ROUND(C1285*D1285/100,2)</f>
        <v>88481.05</v>
      </c>
    </row>
    <row r="1286" spans="1:6" ht="11.25" customHeight="1" x14ac:dyDescent="0.2">
      <c r="A1286" s="8" t="s">
        <v>187</v>
      </c>
      <c r="B1286" s="9" t="s">
        <v>42</v>
      </c>
      <c r="C1286" s="16"/>
      <c r="D1286" s="16"/>
      <c r="E1286" s="19">
        <f>E1282*0.1</f>
        <v>32228.196000000004</v>
      </c>
    </row>
    <row r="1287" spans="1:6" ht="11.25" customHeight="1" x14ac:dyDescent="0.2">
      <c r="A1287" s="8" t="s">
        <v>188</v>
      </c>
      <c r="B1287" s="9" t="s">
        <v>44</v>
      </c>
      <c r="C1287" s="16"/>
      <c r="D1287" s="16"/>
      <c r="E1287" s="19">
        <f>E1283*0.1</f>
        <v>29298.36</v>
      </c>
    </row>
    <row r="1288" spans="1:6" ht="15" customHeight="1" x14ac:dyDescent="0.2">
      <c r="A1288" s="7" t="s">
        <v>45</v>
      </c>
      <c r="B1288" s="6" t="s">
        <v>189</v>
      </c>
      <c r="C1288" s="16"/>
      <c r="D1288" s="16"/>
      <c r="E1288" s="17">
        <f>E1289+E1290+E1291+E1292</f>
        <v>1290259.21</v>
      </c>
    </row>
    <row r="1289" spans="1:6" ht="11.25" customHeight="1" x14ac:dyDescent="0.2">
      <c r="A1289" s="8" t="s">
        <v>47</v>
      </c>
      <c r="B1289" s="9" t="s">
        <v>48</v>
      </c>
      <c r="C1289" s="16">
        <v>3.01</v>
      </c>
      <c r="D1289" s="16">
        <v>18781</v>
      </c>
      <c r="E1289" s="19">
        <f>ROUND(C1289*D1289,2)*12</f>
        <v>678369.72</v>
      </c>
      <c r="F1289" s="20"/>
    </row>
    <row r="1290" spans="1:6" ht="11.25" customHeight="1" x14ac:dyDescent="0.2">
      <c r="A1290" s="8" t="s">
        <v>49</v>
      </c>
      <c r="B1290" s="9" t="s">
        <v>50</v>
      </c>
      <c r="C1290" s="16">
        <v>30.2</v>
      </c>
      <c r="D1290" s="16">
        <f>E1289</f>
        <v>678369.72</v>
      </c>
      <c r="E1290" s="19">
        <f>ROUND(C1290*D1290/100,2)</f>
        <v>204867.66</v>
      </c>
    </row>
    <row r="1291" spans="1:6" ht="11.25" customHeight="1" x14ac:dyDescent="0.2">
      <c r="A1291" s="8" t="s">
        <v>51</v>
      </c>
      <c r="B1291" s="9" t="s">
        <v>52</v>
      </c>
      <c r="C1291" s="16"/>
      <c r="D1291" s="16"/>
      <c r="E1291" s="19">
        <f>E1289*0.5</f>
        <v>339184.86</v>
      </c>
    </row>
    <row r="1292" spans="1:6" ht="11.25" customHeight="1" x14ac:dyDescent="0.2">
      <c r="A1292" s="8" t="s">
        <v>53</v>
      </c>
      <c r="B1292" s="9" t="s">
        <v>54</v>
      </c>
      <c r="C1292" s="16"/>
      <c r="D1292" s="16"/>
      <c r="E1292" s="19">
        <f>ROUND(E1289*0.1,2)</f>
        <v>67836.97</v>
      </c>
    </row>
    <row r="1293" spans="1:6" ht="20.100000000000001" customHeight="1" x14ac:dyDescent="0.2">
      <c r="A1293" s="5">
        <v>2</v>
      </c>
      <c r="B1293" s="6" t="s">
        <v>57</v>
      </c>
      <c r="C1293" s="16"/>
      <c r="D1293" s="16"/>
      <c r="E1293" s="17">
        <f>E1294+E1296+E1297+E1298+E1299+E1300+E1295</f>
        <v>870042.56</v>
      </c>
    </row>
    <row r="1294" spans="1:6" ht="11.25" customHeight="1" x14ac:dyDescent="0.2">
      <c r="A1294" s="35" t="s">
        <v>58</v>
      </c>
      <c r="B1294" s="9" t="s">
        <v>204</v>
      </c>
      <c r="C1294" s="16">
        <v>807.65</v>
      </c>
      <c r="D1294" s="16">
        <f>E1294/C1294</f>
        <v>177.96999938091997</v>
      </c>
      <c r="E1294" s="19">
        <v>143737.47</v>
      </c>
    </row>
    <row r="1295" spans="1:6" ht="11.25" customHeight="1" x14ac:dyDescent="0.2">
      <c r="A1295" s="35" t="s">
        <v>60</v>
      </c>
      <c r="B1295" s="9" t="s">
        <v>195</v>
      </c>
      <c r="C1295" s="16">
        <v>807.65</v>
      </c>
      <c r="D1295" s="16">
        <f>E1295/C1295</f>
        <v>219.6334303225407</v>
      </c>
      <c r="E1295" s="19">
        <v>177386.94</v>
      </c>
    </row>
    <row r="1296" spans="1:6" ht="11.25" customHeight="1" x14ac:dyDescent="0.2">
      <c r="A1296" s="35" t="s">
        <v>62</v>
      </c>
      <c r="B1296" s="9" t="s">
        <v>196</v>
      </c>
      <c r="C1296" s="16">
        <v>256.22000000000003</v>
      </c>
      <c r="D1296" s="16">
        <f>E1296/C1296</f>
        <v>848.40125673249543</v>
      </c>
      <c r="E1296" s="19">
        <v>217377.37</v>
      </c>
    </row>
    <row r="1297" spans="1:5" ht="11.25" customHeight="1" x14ac:dyDescent="0.2">
      <c r="A1297" s="35" t="s">
        <v>64</v>
      </c>
      <c r="B1297" s="9" t="s">
        <v>63</v>
      </c>
      <c r="C1297" s="16">
        <f>E1297/D1297</f>
        <v>43730.086580086579</v>
      </c>
      <c r="D1297" s="16">
        <v>4.62</v>
      </c>
      <c r="E1297" s="19">
        <f>128755.08+52477.23+20800.69</f>
        <v>202033</v>
      </c>
    </row>
    <row r="1298" spans="1:5" ht="11.25" customHeight="1" x14ac:dyDescent="0.2">
      <c r="A1298" s="35" t="s">
        <v>66</v>
      </c>
      <c r="B1298" s="9" t="s">
        <v>65</v>
      </c>
      <c r="C1298" s="16">
        <f>E1298/D1298</f>
        <v>1426.6749376009398</v>
      </c>
      <c r="D1298" s="16">
        <v>68.11</v>
      </c>
      <c r="E1298" s="19">
        <f>80682.67+16488.16</f>
        <v>97170.83</v>
      </c>
    </row>
    <row r="1299" spans="1:5" ht="11.25" customHeight="1" x14ac:dyDescent="0.2">
      <c r="A1299" s="35" t="s">
        <v>68</v>
      </c>
      <c r="B1299" s="9" t="s">
        <v>69</v>
      </c>
      <c r="C1299" s="16">
        <v>1681.1</v>
      </c>
      <c r="D1299" s="16">
        <f>E1299/C1299</f>
        <v>3.3499970257569451</v>
      </c>
      <c r="E1299" s="19">
        <v>5631.68</v>
      </c>
    </row>
    <row r="1300" spans="1:5" ht="11.25" customHeight="1" x14ac:dyDescent="0.2">
      <c r="A1300" s="35" t="s">
        <v>70</v>
      </c>
      <c r="B1300" s="9" t="s">
        <v>71</v>
      </c>
      <c r="C1300" s="16">
        <v>142.02000000000001</v>
      </c>
      <c r="D1300" s="16">
        <f>E1300/C1300</f>
        <v>188.03879735248555</v>
      </c>
      <c r="E1300" s="19">
        <v>26705.27</v>
      </c>
    </row>
    <row r="1301" spans="1:5" ht="20.100000000000001" customHeight="1" x14ac:dyDescent="0.2">
      <c r="A1301" s="5">
        <v>3</v>
      </c>
      <c r="B1301" s="6" t="s">
        <v>72</v>
      </c>
      <c r="C1301" s="16"/>
      <c r="D1301" s="16"/>
      <c r="E1301" s="17">
        <f>E1302+E1303+E1304+E1305+E1306+E1307+E1308+E1309+E1310+E1312+E1311</f>
        <v>457619.10964119935</v>
      </c>
    </row>
    <row r="1302" spans="1:5" ht="11.25" customHeight="1" x14ac:dyDescent="0.2">
      <c r="A1302" s="8" t="s">
        <v>73</v>
      </c>
      <c r="B1302" s="9" t="s">
        <v>74</v>
      </c>
      <c r="C1302" s="34">
        <v>6</v>
      </c>
      <c r="D1302" s="16">
        <f>E1302/C1302/12</f>
        <v>3192.7319444444443</v>
      </c>
      <c r="E1302" s="19">
        <v>229876.7</v>
      </c>
    </row>
    <row r="1303" spans="1:5" ht="11.25" customHeight="1" x14ac:dyDescent="0.2">
      <c r="A1303" s="8" t="s">
        <v>75</v>
      </c>
      <c r="B1303" s="9" t="s">
        <v>76</v>
      </c>
      <c r="C1303" s="16"/>
      <c r="D1303" s="16"/>
      <c r="E1303" s="19">
        <v>0</v>
      </c>
    </row>
    <row r="1304" spans="1:5" ht="11.25" customHeight="1" x14ac:dyDescent="0.2">
      <c r="A1304" s="8" t="s">
        <v>77</v>
      </c>
      <c r="B1304" s="9" t="s">
        <v>78</v>
      </c>
      <c r="C1304" s="16"/>
      <c r="D1304" s="16"/>
      <c r="E1304" s="19">
        <v>0</v>
      </c>
    </row>
    <row r="1305" spans="1:5" ht="11.25" customHeight="1" x14ac:dyDescent="0.2">
      <c r="A1305" s="8" t="s">
        <v>79</v>
      </c>
      <c r="B1305" s="9" t="s">
        <v>80</v>
      </c>
      <c r="C1305" s="16">
        <v>10986.5</v>
      </c>
      <c r="D1305" s="16">
        <f>E1305/C1305</f>
        <v>4.1500696309106626</v>
      </c>
      <c r="E1305" s="19">
        <v>45594.74</v>
      </c>
    </row>
    <row r="1306" spans="1:5" ht="11.25" customHeight="1" x14ac:dyDescent="0.2">
      <c r="A1306" s="8" t="s">
        <v>81</v>
      </c>
      <c r="B1306" s="9" t="s">
        <v>82</v>
      </c>
      <c r="C1306" s="34">
        <v>430</v>
      </c>
      <c r="D1306" s="16">
        <f>E1306/C1306</f>
        <v>71.707116279069766</v>
      </c>
      <c r="E1306" s="19">
        <v>30834.06</v>
      </c>
    </row>
    <row r="1307" spans="1:5" ht="11.25" customHeight="1" x14ac:dyDescent="0.2">
      <c r="A1307" s="8" t="s">
        <v>83</v>
      </c>
      <c r="B1307" s="9" t="s">
        <v>194</v>
      </c>
      <c r="C1307" s="34">
        <v>215</v>
      </c>
      <c r="D1307" s="16">
        <f>E1307/C1307</f>
        <v>85.879627906976737</v>
      </c>
      <c r="E1307" s="19">
        <v>18464.12</v>
      </c>
    </row>
    <row r="1308" spans="1:5" ht="11.25" customHeight="1" x14ac:dyDescent="0.2">
      <c r="A1308" s="8" t="s">
        <v>85</v>
      </c>
      <c r="B1308" s="9" t="s">
        <v>86</v>
      </c>
      <c r="C1308" s="34"/>
      <c r="D1308" s="16"/>
      <c r="E1308" s="19">
        <v>0</v>
      </c>
    </row>
    <row r="1309" spans="1:5" ht="11.25" customHeight="1" x14ac:dyDescent="0.2">
      <c r="A1309" s="8" t="s">
        <v>87</v>
      </c>
      <c r="B1309" s="9" t="s">
        <v>88</v>
      </c>
      <c r="C1309" s="34">
        <v>215</v>
      </c>
      <c r="D1309" s="16">
        <f>E1309/C1309</f>
        <v>540.61539534883718</v>
      </c>
      <c r="E1309" s="19">
        <v>116232.31</v>
      </c>
    </row>
    <row r="1310" spans="1:5" ht="11.25" customHeight="1" x14ac:dyDescent="0.2">
      <c r="A1310" s="8" t="s">
        <v>89</v>
      </c>
      <c r="B1310" s="9" t="s">
        <v>90</v>
      </c>
      <c r="C1310" s="16"/>
      <c r="D1310" s="16"/>
      <c r="E1310" s="19">
        <v>0</v>
      </c>
    </row>
    <row r="1311" spans="1:5" ht="11.25" customHeight="1" x14ac:dyDescent="0.2">
      <c r="A1311" s="8" t="s">
        <v>91</v>
      </c>
      <c r="B1311" s="9" t="s">
        <v>202</v>
      </c>
      <c r="C1311" s="34">
        <v>6</v>
      </c>
      <c r="D1311" s="16">
        <f>E1311/C1311</f>
        <v>2769.5299401998959</v>
      </c>
      <c r="E1311" s="19">
        <f>2826.16*6*1.2*0.81663515754</f>
        <v>16617.179641199375</v>
      </c>
    </row>
    <row r="1312" spans="1:5" ht="11.25" customHeight="1" x14ac:dyDescent="0.2">
      <c r="A1312" s="8" t="s">
        <v>203</v>
      </c>
      <c r="B1312" s="9" t="s">
        <v>92</v>
      </c>
      <c r="C1312" s="16"/>
      <c r="D1312" s="16"/>
      <c r="E1312" s="19">
        <v>0</v>
      </c>
    </row>
    <row r="1313" spans="1:6" ht="15" customHeight="1" x14ac:dyDescent="0.2">
      <c r="A1313" s="5">
        <v>4</v>
      </c>
      <c r="B1313" s="6" t="s">
        <v>193</v>
      </c>
      <c r="C1313" s="16"/>
      <c r="D1313" s="16"/>
      <c r="E1313" s="17">
        <f>ROUND(F1314/1.1*0.1,2)</f>
        <v>348052.32</v>
      </c>
    </row>
    <row r="1314" spans="1:6" ht="18.75" customHeight="1" x14ac:dyDescent="0.2">
      <c r="A1314" s="10"/>
      <c r="B1314" s="11" t="s">
        <v>94</v>
      </c>
      <c r="C1314" s="21"/>
      <c r="D1314" s="21"/>
      <c r="E1314" s="17">
        <f>E1280+E1293+E1301+E1313</f>
        <v>3828575.5156411994</v>
      </c>
      <c r="F1314" s="25">
        <f>E1267*29.04*12</f>
        <v>3828575.5199999996</v>
      </c>
    </row>
    <row r="1315" spans="1:6" ht="15" customHeight="1" x14ac:dyDescent="0.25">
      <c r="A1315" s="10"/>
      <c r="B1315" s="11" t="s">
        <v>199</v>
      </c>
      <c r="C1315" s="21"/>
      <c r="D1315" s="21"/>
      <c r="E1315" s="22">
        <v>29.04</v>
      </c>
    </row>
    <row r="1316" spans="1:6" ht="10.95" customHeight="1" x14ac:dyDescent="0.2"/>
    <row r="1317" spans="1:6" ht="10.95" customHeight="1" x14ac:dyDescent="0.2"/>
    <row r="1318" spans="1:6" ht="10.95" customHeight="1" x14ac:dyDescent="0.2"/>
    <row r="1319" spans="1:6" ht="15" customHeight="1" x14ac:dyDescent="0.25">
      <c r="B1319" s="12" t="s">
        <v>96</v>
      </c>
    </row>
    <row r="1320" spans="1:6" ht="12" customHeight="1" x14ac:dyDescent="0.2"/>
    <row r="1321" spans="1:6" ht="13.2" customHeight="1" x14ac:dyDescent="0.25">
      <c r="B1321" s="3" t="s">
        <v>97</v>
      </c>
    </row>
    <row r="1322" spans="1:6" ht="7.95" customHeight="1" x14ac:dyDescent="0.2"/>
    <row r="1323" spans="1:6" ht="12" customHeight="1" x14ac:dyDescent="0.25">
      <c r="B1323" s="41" t="s">
        <v>100</v>
      </c>
      <c r="C1323" s="41"/>
      <c r="D1323" s="41"/>
      <c r="E1323" s="41"/>
    </row>
    <row r="1324" spans="1:6" ht="10.95" customHeight="1" x14ac:dyDescent="0.2"/>
    <row r="1325" spans="1:6" ht="10.95" customHeight="1" x14ac:dyDescent="0.2"/>
    <row r="1326" spans="1:6" ht="10.95" customHeight="1" x14ac:dyDescent="0.2"/>
    <row r="1327" spans="1:6" ht="16.2" customHeight="1" x14ac:dyDescent="0.2">
      <c r="A1327" s="39" t="s">
        <v>0</v>
      </c>
      <c r="B1327" s="39"/>
      <c r="C1327" s="39"/>
      <c r="D1327" s="39"/>
      <c r="E1327" s="39"/>
    </row>
    <row r="1328" spans="1:6" ht="10.95" customHeight="1" x14ac:dyDescent="0.2">
      <c r="A1328" s="40" t="s">
        <v>1</v>
      </c>
      <c r="B1328" s="40"/>
      <c r="C1328" s="40"/>
      <c r="D1328" s="40"/>
      <c r="E1328" s="40"/>
    </row>
    <row r="1329" spans="1:5" ht="13.2" customHeight="1" x14ac:dyDescent="0.2">
      <c r="A1329" s="40" t="s">
        <v>198</v>
      </c>
      <c r="B1329" s="40"/>
      <c r="C1329" s="40"/>
      <c r="D1329" s="40"/>
      <c r="E1329" s="40"/>
    </row>
    <row r="1330" spans="1:5" ht="10.95" customHeight="1" x14ac:dyDescent="0.2"/>
    <row r="1331" spans="1:5" ht="10.95" customHeight="1" x14ac:dyDescent="0.2">
      <c r="C1331" s="42" t="s">
        <v>3</v>
      </c>
      <c r="D1331" s="42"/>
      <c r="E1331" s="42"/>
    </row>
    <row r="1332" spans="1:5" ht="12" customHeight="1" x14ac:dyDescent="0.2">
      <c r="D1332" s="26" t="s">
        <v>4</v>
      </c>
      <c r="E1332" s="24">
        <v>3934.6</v>
      </c>
    </row>
    <row r="1333" spans="1:5" ht="12" customHeight="1" x14ac:dyDescent="0.2">
      <c r="D1333" s="26" t="s">
        <v>5</v>
      </c>
      <c r="E1333" s="23">
        <v>1087.8</v>
      </c>
    </row>
    <row r="1334" spans="1:5" ht="12" customHeight="1" x14ac:dyDescent="0.2">
      <c r="D1334" s="26" t="s">
        <v>6</v>
      </c>
      <c r="E1334" s="30">
        <v>1</v>
      </c>
    </row>
    <row r="1335" spans="1:5" ht="12" customHeight="1" x14ac:dyDescent="0.2">
      <c r="D1335" s="26" t="s">
        <v>7</v>
      </c>
      <c r="E1335" s="30">
        <v>14</v>
      </c>
    </row>
    <row r="1336" spans="1:5" ht="12" customHeight="1" x14ac:dyDescent="0.2">
      <c r="D1336" s="26" t="s">
        <v>8</v>
      </c>
      <c r="E1336" s="30">
        <v>92</v>
      </c>
    </row>
    <row r="1337" spans="1:5" ht="12" customHeight="1" x14ac:dyDescent="0.2">
      <c r="D1337" s="26" t="s">
        <v>9</v>
      </c>
      <c r="E1337" s="30">
        <v>189</v>
      </c>
    </row>
    <row r="1338" spans="1:5" ht="12" customHeight="1" x14ac:dyDescent="0.2">
      <c r="D1338" s="26" t="s">
        <v>10</v>
      </c>
      <c r="E1338" s="30">
        <v>2</v>
      </c>
    </row>
    <row r="1339" spans="1:5" ht="12" customHeight="1" x14ac:dyDescent="0.2">
      <c r="D1339" s="26" t="s">
        <v>11</v>
      </c>
      <c r="E1339" s="30">
        <v>1</v>
      </c>
    </row>
    <row r="1340" spans="1:5" ht="12" customHeight="1" x14ac:dyDescent="0.2">
      <c r="D1340" s="26" t="s">
        <v>12</v>
      </c>
      <c r="E1340" s="30">
        <v>0</v>
      </c>
    </row>
    <row r="1341" spans="1:5" ht="12" customHeight="1" x14ac:dyDescent="0.2">
      <c r="D1341" s="26" t="s">
        <v>13</v>
      </c>
      <c r="E1341" s="30">
        <v>568</v>
      </c>
    </row>
    <row r="1342" spans="1:5" ht="12" customHeight="1" x14ac:dyDescent="0.25">
      <c r="A1342" s="2" t="s">
        <v>14</v>
      </c>
      <c r="B1342" s="3" t="s">
        <v>141</v>
      </c>
    </row>
    <row r="1343" spans="1:5" ht="10.95" customHeight="1" x14ac:dyDescent="0.2"/>
    <row r="1344" spans="1:5" ht="45" customHeight="1" x14ac:dyDescent="0.2">
      <c r="A1344" s="4" t="s">
        <v>15</v>
      </c>
      <c r="B1344" s="4" t="s">
        <v>131</v>
      </c>
      <c r="C1344" s="27" t="s">
        <v>17</v>
      </c>
      <c r="D1344" s="27" t="s">
        <v>103</v>
      </c>
      <c r="E1344" s="27" t="s">
        <v>19</v>
      </c>
    </row>
    <row r="1345" spans="1:6" ht="31.5" customHeight="1" x14ac:dyDescent="0.2">
      <c r="A1345" s="5">
        <v>1</v>
      </c>
      <c r="B1345" s="6" t="s">
        <v>190</v>
      </c>
      <c r="C1345" s="16"/>
      <c r="D1345" s="16"/>
      <c r="E1345" s="17">
        <f>E1346+E1353</f>
        <v>597812.75</v>
      </c>
    </row>
    <row r="1346" spans="1:6" ht="15" customHeight="1" x14ac:dyDescent="0.2">
      <c r="A1346" s="7" t="s">
        <v>21</v>
      </c>
      <c r="B1346" s="6" t="s">
        <v>132</v>
      </c>
      <c r="C1346" s="16"/>
      <c r="D1346" s="16"/>
      <c r="E1346" s="17">
        <f>SUM(E1347:E1352)</f>
        <v>292514.82600000006</v>
      </c>
    </row>
    <row r="1347" spans="1:6" ht="11.25" customHeight="1" x14ac:dyDescent="0.2">
      <c r="A1347" s="15" t="s">
        <v>23</v>
      </c>
      <c r="B1347" s="9" t="s">
        <v>34</v>
      </c>
      <c r="C1347" s="16">
        <v>0.53</v>
      </c>
      <c r="D1347" s="16">
        <v>18781</v>
      </c>
      <c r="E1347" s="19">
        <f>ROUND(C1347*D1347,2)*12</f>
        <v>119447.16</v>
      </c>
      <c r="F1347" s="20"/>
    </row>
    <row r="1348" spans="1:6" ht="11.25" customHeight="1" x14ac:dyDescent="0.2">
      <c r="A1348" s="8" t="s">
        <v>31</v>
      </c>
      <c r="B1348" s="9" t="s">
        <v>36</v>
      </c>
      <c r="C1348" s="16">
        <v>0.43</v>
      </c>
      <c r="D1348" s="16">
        <v>18781</v>
      </c>
      <c r="E1348" s="19">
        <f>ROUND(C1348*D1348,2)*12</f>
        <v>96909.959999999992</v>
      </c>
    </row>
    <row r="1349" spans="1:6" ht="11.25" customHeight="1" x14ac:dyDescent="0.2">
      <c r="A1349" s="8" t="s">
        <v>121</v>
      </c>
      <c r="B1349" s="9" t="s">
        <v>38</v>
      </c>
      <c r="C1349" s="16">
        <v>30.2</v>
      </c>
      <c r="D1349" s="16">
        <f>E1347</f>
        <v>119447.16</v>
      </c>
      <c r="E1349" s="19">
        <f>ROUND(C1349*D1349/100,2)</f>
        <v>36073.040000000001</v>
      </c>
    </row>
    <row r="1350" spans="1:6" ht="11.25" customHeight="1" x14ac:dyDescent="0.2">
      <c r="A1350" s="8" t="s">
        <v>186</v>
      </c>
      <c r="B1350" s="9" t="s">
        <v>40</v>
      </c>
      <c r="C1350" s="16">
        <v>30.2</v>
      </c>
      <c r="D1350" s="16">
        <f>E1348</f>
        <v>96909.959999999992</v>
      </c>
      <c r="E1350" s="19">
        <f>ROUND(C1350*D1350/100,2)</f>
        <v>29266.81</v>
      </c>
    </row>
    <row r="1351" spans="1:6" ht="11.25" customHeight="1" x14ac:dyDescent="0.2">
      <c r="A1351" s="8" t="s">
        <v>187</v>
      </c>
      <c r="B1351" s="9" t="s">
        <v>42</v>
      </c>
      <c r="C1351" s="16"/>
      <c r="D1351" s="16"/>
      <c r="E1351" s="19">
        <f>E1347*0.05</f>
        <v>5972.3580000000002</v>
      </c>
    </row>
    <row r="1352" spans="1:6" ht="11.25" customHeight="1" x14ac:dyDescent="0.2">
      <c r="A1352" s="8" t="s">
        <v>188</v>
      </c>
      <c r="B1352" s="9" t="s">
        <v>44</v>
      </c>
      <c r="C1352" s="16"/>
      <c r="D1352" s="16"/>
      <c r="E1352" s="19">
        <f>E1348*0.05</f>
        <v>4845.4979999999996</v>
      </c>
    </row>
    <row r="1353" spans="1:6" ht="15" customHeight="1" x14ac:dyDescent="0.2">
      <c r="A1353" s="7" t="s">
        <v>45</v>
      </c>
      <c r="B1353" s="6" t="s">
        <v>189</v>
      </c>
      <c r="C1353" s="16"/>
      <c r="D1353" s="16"/>
      <c r="E1353" s="17">
        <f>E1354+E1355+E1356+E1357</f>
        <v>305297.924</v>
      </c>
    </row>
    <row r="1354" spans="1:6" ht="11.25" customHeight="1" x14ac:dyDescent="0.2">
      <c r="A1354" s="8" t="s">
        <v>47</v>
      </c>
      <c r="B1354" s="9" t="s">
        <v>48</v>
      </c>
      <c r="C1354" s="16">
        <v>0.82</v>
      </c>
      <c r="D1354" s="16">
        <v>18781</v>
      </c>
      <c r="E1354" s="19">
        <f>ROUND(C1354*D1354,2)*12</f>
        <v>184805.04</v>
      </c>
      <c r="F1354" s="20"/>
    </row>
    <row r="1355" spans="1:6" ht="11.25" customHeight="1" x14ac:dyDescent="0.2">
      <c r="A1355" s="8" t="s">
        <v>49</v>
      </c>
      <c r="B1355" s="9" t="s">
        <v>50</v>
      </c>
      <c r="C1355" s="16">
        <v>30.2</v>
      </c>
      <c r="D1355" s="16">
        <f>E1354</f>
        <v>184805.04</v>
      </c>
      <c r="E1355" s="19">
        <f>ROUND(C1355*D1355/100,2)</f>
        <v>55811.12</v>
      </c>
    </row>
    <row r="1356" spans="1:6" ht="11.25" customHeight="1" x14ac:dyDescent="0.2">
      <c r="A1356" s="8" t="s">
        <v>51</v>
      </c>
      <c r="B1356" s="9" t="s">
        <v>52</v>
      </c>
      <c r="C1356" s="16"/>
      <c r="D1356" s="16"/>
      <c r="E1356" s="19">
        <f>E1354*0.3</f>
        <v>55441.512000000002</v>
      </c>
    </row>
    <row r="1357" spans="1:6" ht="11.25" customHeight="1" x14ac:dyDescent="0.2">
      <c r="A1357" s="8" t="s">
        <v>53</v>
      </c>
      <c r="B1357" s="9" t="s">
        <v>54</v>
      </c>
      <c r="C1357" s="16"/>
      <c r="D1357" s="16"/>
      <c r="E1357" s="19">
        <f>E1354*0.05</f>
        <v>9240.2520000000004</v>
      </c>
    </row>
    <row r="1358" spans="1:6" ht="20.100000000000001" customHeight="1" x14ac:dyDescent="0.2">
      <c r="A1358" s="5">
        <v>2</v>
      </c>
      <c r="B1358" s="6" t="s">
        <v>57</v>
      </c>
      <c r="C1358" s="16"/>
      <c r="D1358" s="16"/>
      <c r="E1358" s="17">
        <f>E1359+E1361+E1362+E1363+E1364+E1365+E1360</f>
        <v>398843.55999999994</v>
      </c>
    </row>
    <row r="1359" spans="1:6" ht="11.25" customHeight="1" x14ac:dyDescent="0.2">
      <c r="A1359" s="35" t="s">
        <v>58</v>
      </c>
      <c r="B1359" s="9" t="s">
        <v>204</v>
      </c>
      <c r="C1359" s="16">
        <v>274.05</v>
      </c>
      <c r="D1359" s="16">
        <f>E1359/C1359</f>
        <v>177.97000547345374</v>
      </c>
      <c r="E1359" s="19">
        <v>48772.68</v>
      </c>
    </row>
    <row r="1360" spans="1:6" ht="11.25" customHeight="1" x14ac:dyDescent="0.2">
      <c r="A1360" s="35" t="s">
        <v>60</v>
      </c>
      <c r="B1360" s="9" t="s">
        <v>195</v>
      </c>
      <c r="C1360" s="16">
        <v>274.05</v>
      </c>
      <c r="D1360" s="16">
        <f>E1360/C1360</f>
        <v>219.63342455756248</v>
      </c>
      <c r="E1360" s="19">
        <v>60190.54</v>
      </c>
    </row>
    <row r="1361" spans="1:5" ht="11.25" customHeight="1" x14ac:dyDescent="0.2">
      <c r="A1361" s="35" t="s">
        <v>62</v>
      </c>
      <c r="B1361" s="9" t="s">
        <v>196</v>
      </c>
      <c r="C1361" s="16">
        <v>86.94</v>
      </c>
      <c r="D1361" s="16">
        <f>E1361/C1361</f>
        <v>848.40119622728321</v>
      </c>
      <c r="E1361" s="19">
        <v>73760</v>
      </c>
    </row>
    <row r="1362" spans="1:5" ht="11.25" customHeight="1" x14ac:dyDescent="0.2">
      <c r="A1362" s="35" t="s">
        <v>64</v>
      </c>
      <c r="B1362" s="9" t="s">
        <v>63</v>
      </c>
      <c r="C1362" s="16">
        <f>E1362/D1362</f>
        <v>27604.771480804386</v>
      </c>
      <c r="D1362" s="16">
        <v>5.47</v>
      </c>
      <c r="E1362" s="19">
        <f>692275.09-541276.99</f>
        <v>150998.09999999998</v>
      </c>
    </row>
    <row r="1363" spans="1:5" ht="11.25" customHeight="1" x14ac:dyDescent="0.2">
      <c r="A1363" s="35" t="s">
        <v>66</v>
      </c>
      <c r="B1363" s="9" t="s">
        <v>65</v>
      </c>
      <c r="C1363" s="16">
        <f>E1363/D1363</f>
        <v>837.07869622669216</v>
      </c>
      <c r="D1363" s="16">
        <v>68.11</v>
      </c>
      <c r="E1363" s="19">
        <f>50113.38+6900.05</f>
        <v>57013.43</v>
      </c>
    </row>
    <row r="1364" spans="1:5" ht="11.25" customHeight="1" x14ac:dyDescent="0.2">
      <c r="A1364" s="35" t="s">
        <v>68</v>
      </c>
      <c r="B1364" s="9" t="s">
        <v>69</v>
      </c>
      <c r="C1364" s="16">
        <v>353.8</v>
      </c>
      <c r="D1364" s="16">
        <f>E1364/C1364</f>
        <v>3.35</v>
      </c>
      <c r="E1364" s="19">
        <v>1185.23</v>
      </c>
    </row>
    <row r="1365" spans="1:5" ht="11.25" customHeight="1" x14ac:dyDescent="0.2">
      <c r="A1365" s="35" t="s">
        <v>70</v>
      </c>
      <c r="B1365" s="9" t="s">
        <v>71</v>
      </c>
      <c r="C1365" s="16">
        <v>36.82</v>
      </c>
      <c r="D1365" s="16">
        <f>E1365/C1365</f>
        <v>188.03856599674089</v>
      </c>
      <c r="E1365" s="19">
        <v>6923.58</v>
      </c>
    </row>
    <row r="1366" spans="1:5" ht="20.100000000000001" customHeight="1" x14ac:dyDescent="0.2">
      <c r="A1366" s="5">
        <v>3</v>
      </c>
      <c r="B1366" s="6" t="s">
        <v>72</v>
      </c>
      <c r="C1366" s="16"/>
      <c r="D1366" s="16"/>
      <c r="E1366" s="17">
        <f>E1367+E1368+E1369+E1370+E1371+E1372+E1373+E1374+E1375+E1377+E1376</f>
        <v>249824.96988039979</v>
      </c>
    </row>
    <row r="1367" spans="1:5" ht="11.25" customHeight="1" x14ac:dyDescent="0.2">
      <c r="A1367" s="8" t="s">
        <v>73</v>
      </c>
      <c r="B1367" s="9" t="s">
        <v>74</v>
      </c>
      <c r="C1367" s="34">
        <v>2</v>
      </c>
      <c r="D1367" s="16">
        <f>E1367/C1367/12</f>
        <v>4038.5520833333335</v>
      </c>
      <c r="E1367" s="19">
        <v>96925.25</v>
      </c>
    </row>
    <row r="1368" spans="1:5" ht="11.25" customHeight="1" x14ac:dyDescent="0.2">
      <c r="A1368" s="8" t="s">
        <v>75</v>
      </c>
      <c r="B1368" s="9" t="s">
        <v>76</v>
      </c>
      <c r="C1368" s="34"/>
      <c r="D1368" s="16"/>
      <c r="E1368" s="19">
        <v>0</v>
      </c>
    </row>
    <row r="1369" spans="1:5" ht="11.25" customHeight="1" x14ac:dyDescent="0.2">
      <c r="A1369" s="8" t="s">
        <v>77</v>
      </c>
      <c r="B1369" s="9" t="s">
        <v>78</v>
      </c>
      <c r="C1369" s="34">
        <v>1</v>
      </c>
      <c r="D1369" s="16">
        <f>E1369/C1369/12</f>
        <v>4345.7524999999996</v>
      </c>
      <c r="E1369" s="19">
        <v>52149.03</v>
      </c>
    </row>
    <row r="1370" spans="1:5" ht="11.25" customHeight="1" x14ac:dyDescent="0.2">
      <c r="A1370" s="8" t="s">
        <v>79</v>
      </c>
      <c r="B1370" s="9" t="s">
        <v>80</v>
      </c>
      <c r="C1370" s="16">
        <v>3934.6</v>
      </c>
      <c r="D1370" s="16">
        <f>E1370/C1370</f>
        <v>5.2974406547044177</v>
      </c>
      <c r="E1370" s="19">
        <v>20843.310000000001</v>
      </c>
    </row>
    <row r="1371" spans="1:5" ht="11.25" customHeight="1" x14ac:dyDescent="0.2">
      <c r="A1371" s="8" t="s">
        <v>81</v>
      </c>
      <c r="B1371" s="9" t="s">
        <v>82</v>
      </c>
      <c r="C1371" s="34">
        <v>184</v>
      </c>
      <c r="D1371" s="16">
        <f>E1371/C1371</f>
        <v>68.535869565217396</v>
      </c>
      <c r="E1371" s="19">
        <v>12610.6</v>
      </c>
    </row>
    <row r="1372" spans="1:5" ht="11.25" customHeight="1" x14ac:dyDescent="0.2">
      <c r="A1372" s="8" t="s">
        <v>83</v>
      </c>
      <c r="B1372" s="9" t="s">
        <v>194</v>
      </c>
      <c r="C1372" s="34">
        <v>92</v>
      </c>
      <c r="D1372" s="16">
        <f>E1372/C1372</f>
        <v>87.248586956521734</v>
      </c>
      <c r="E1372" s="19">
        <v>8026.87</v>
      </c>
    </row>
    <row r="1373" spans="1:5" ht="11.25" customHeight="1" x14ac:dyDescent="0.2">
      <c r="A1373" s="8" t="s">
        <v>85</v>
      </c>
      <c r="B1373" s="9" t="s">
        <v>86</v>
      </c>
      <c r="C1373" s="16">
        <v>0.5</v>
      </c>
      <c r="D1373" s="16">
        <f>E1373/C1373</f>
        <v>19206.259999999998</v>
      </c>
      <c r="E1373" s="19">
        <v>9603.1299999999992</v>
      </c>
    </row>
    <row r="1374" spans="1:5" ht="11.25" customHeight="1" x14ac:dyDescent="0.2">
      <c r="A1374" s="8" t="s">
        <v>87</v>
      </c>
      <c r="B1374" s="9" t="s">
        <v>88</v>
      </c>
      <c r="C1374" s="34">
        <v>92</v>
      </c>
      <c r="D1374" s="16">
        <f>E1374/C1374</f>
        <v>479.64913043478265</v>
      </c>
      <c r="E1374" s="19">
        <v>44127.72</v>
      </c>
    </row>
    <row r="1375" spans="1:5" ht="11.25" customHeight="1" x14ac:dyDescent="0.2">
      <c r="A1375" s="8" t="s">
        <v>89</v>
      </c>
      <c r="B1375" s="9" t="s">
        <v>90</v>
      </c>
      <c r="C1375" s="16"/>
      <c r="D1375" s="16"/>
      <c r="E1375" s="19">
        <v>0</v>
      </c>
    </row>
    <row r="1376" spans="1:5" ht="11.25" customHeight="1" x14ac:dyDescent="0.2">
      <c r="A1376" s="8" t="s">
        <v>91</v>
      </c>
      <c r="B1376" s="9" t="s">
        <v>202</v>
      </c>
      <c r="C1376" s="34">
        <v>2</v>
      </c>
      <c r="D1376" s="16">
        <f>E1376/C1376</f>
        <v>2769.5299401998955</v>
      </c>
      <c r="E1376" s="19">
        <f>2826.16*2*1.2*0.81663515754</f>
        <v>5539.0598803997909</v>
      </c>
    </row>
    <row r="1377" spans="1:6" ht="11.25" customHeight="1" x14ac:dyDescent="0.2">
      <c r="A1377" s="8" t="s">
        <v>203</v>
      </c>
      <c r="B1377" s="9" t="s">
        <v>92</v>
      </c>
      <c r="C1377" s="16"/>
      <c r="D1377" s="16"/>
      <c r="E1377" s="19">
        <v>0</v>
      </c>
    </row>
    <row r="1378" spans="1:6" ht="15" customHeight="1" x14ac:dyDescent="0.2">
      <c r="A1378" s="5">
        <v>4</v>
      </c>
      <c r="B1378" s="6" t="s">
        <v>193</v>
      </c>
      <c r="C1378" s="16"/>
      <c r="D1378" s="16"/>
      <c r="E1378" s="17">
        <f>F1379/1.1*0.1</f>
        <v>124648.12800000001</v>
      </c>
    </row>
    <row r="1379" spans="1:6" ht="18.75" customHeight="1" x14ac:dyDescent="0.2">
      <c r="A1379" s="10"/>
      <c r="B1379" s="11" t="s">
        <v>94</v>
      </c>
      <c r="C1379" s="21"/>
      <c r="D1379" s="21"/>
      <c r="E1379" s="17">
        <f>E1345+E1358+E1366+E1378</f>
        <v>1371129.4078803998</v>
      </c>
      <c r="F1379" s="25">
        <f>E1332*29.04*12</f>
        <v>1371129.4080000001</v>
      </c>
    </row>
    <row r="1380" spans="1:6" ht="15" customHeight="1" x14ac:dyDescent="0.25">
      <c r="A1380" s="10"/>
      <c r="B1380" s="11" t="s">
        <v>199</v>
      </c>
      <c r="C1380" s="21"/>
      <c r="D1380" s="21"/>
      <c r="E1380" s="22">
        <v>29.04</v>
      </c>
    </row>
    <row r="1381" spans="1:6" ht="10.95" customHeight="1" x14ac:dyDescent="0.2"/>
    <row r="1382" spans="1:6" ht="10.95" customHeight="1" x14ac:dyDescent="0.2"/>
    <row r="1383" spans="1:6" ht="10.95" customHeight="1" x14ac:dyDescent="0.2"/>
    <row r="1384" spans="1:6" ht="15" customHeight="1" x14ac:dyDescent="0.25">
      <c r="B1384" s="12" t="s">
        <v>96</v>
      </c>
    </row>
    <row r="1385" spans="1:6" ht="12" customHeight="1" x14ac:dyDescent="0.2"/>
    <row r="1386" spans="1:6" ht="13.2" customHeight="1" x14ac:dyDescent="0.25">
      <c r="B1386" s="3" t="s">
        <v>97</v>
      </c>
    </row>
    <row r="1387" spans="1:6" ht="7.95" customHeight="1" x14ac:dyDescent="0.2"/>
    <row r="1388" spans="1:6" ht="12" customHeight="1" x14ac:dyDescent="0.25">
      <c r="B1388" s="41" t="s">
        <v>100</v>
      </c>
      <c r="C1388" s="41"/>
      <c r="D1388" s="41"/>
      <c r="E1388" s="41"/>
    </row>
    <row r="1389" spans="1:6" ht="10.95" customHeight="1" x14ac:dyDescent="0.2"/>
    <row r="1390" spans="1:6" ht="10.95" customHeight="1" x14ac:dyDescent="0.2"/>
    <row r="1391" spans="1:6" ht="10.95" customHeight="1" x14ac:dyDescent="0.2"/>
    <row r="1392" spans="1:6" ht="16.2" customHeight="1" x14ac:dyDescent="0.2">
      <c r="A1392" s="39" t="s">
        <v>0</v>
      </c>
      <c r="B1392" s="39"/>
      <c r="C1392" s="39"/>
      <c r="D1392" s="39"/>
      <c r="E1392" s="39"/>
    </row>
    <row r="1393" spans="1:5" ht="10.95" customHeight="1" x14ac:dyDescent="0.2">
      <c r="A1393" s="40" t="s">
        <v>1</v>
      </c>
      <c r="B1393" s="40"/>
      <c r="C1393" s="40"/>
      <c r="D1393" s="40"/>
      <c r="E1393" s="40"/>
    </row>
    <row r="1394" spans="1:5" ht="13.2" customHeight="1" x14ac:dyDescent="0.2">
      <c r="A1394" s="40" t="s">
        <v>198</v>
      </c>
      <c r="B1394" s="40"/>
      <c r="C1394" s="40"/>
      <c r="D1394" s="40"/>
      <c r="E1394" s="40"/>
    </row>
    <row r="1395" spans="1:5" ht="10.95" customHeight="1" x14ac:dyDescent="0.2"/>
    <row r="1396" spans="1:5" ht="10.95" customHeight="1" x14ac:dyDescent="0.2">
      <c r="C1396" s="42" t="s">
        <v>3</v>
      </c>
      <c r="D1396" s="42"/>
      <c r="E1396" s="42"/>
    </row>
    <row r="1397" spans="1:5" ht="12" customHeight="1" x14ac:dyDescent="0.2">
      <c r="D1397" s="26" t="s">
        <v>4</v>
      </c>
      <c r="E1397" s="24">
        <v>18527.5</v>
      </c>
    </row>
    <row r="1398" spans="1:5" ht="12" customHeight="1" x14ac:dyDescent="0.2">
      <c r="D1398" s="26" t="s">
        <v>5</v>
      </c>
      <c r="E1398" s="23">
        <v>392.4</v>
      </c>
    </row>
    <row r="1399" spans="1:5" ht="12" customHeight="1" x14ac:dyDescent="0.2">
      <c r="D1399" s="26" t="s">
        <v>6</v>
      </c>
      <c r="E1399" s="30">
        <v>12</v>
      </c>
    </row>
    <row r="1400" spans="1:5" ht="12" customHeight="1" x14ac:dyDescent="0.2">
      <c r="D1400" s="26" t="s">
        <v>7</v>
      </c>
      <c r="E1400" s="30">
        <v>9</v>
      </c>
    </row>
    <row r="1401" spans="1:5" ht="12" customHeight="1" x14ac:dyDescent="0.2">
      <c r="D1401" s="26" t="s">
        <v>8</v>
      </c>
      <c r="E1401" s="30">
        <v>414</v>
      </c>
    </row>
    <row r="1402" spans="1:5" ht="12" customHeight="1" x14ac:dyDescent="0.2">
      <c r="D1402" s="26" t="s">
        <v>9</v>
      </c>
      <c r="E1402" s="30">
        <v>853</v>
      </c>
    </row>
    <row r="1403" spans="1:5" ht="12" customHeight="1" x14ac:dyDescent="0.2">
      <c r="D1403" s="26" t="s">
        <v>10</v>
      </c>
      <c r="E1403" s="30">
        <v>12</v>
      </c>
    </row>
    <row r="1404" spans="1:5" ht="12" customHeight="1" x14ac:dyDescent="0.2">
      <c r="D1404" s="26" t="s">
        <v>11</v>
      </c>
      <c r="E1404" s="30">
        <v>0</v>
      </c>
    </row>
    <row r="1405" spans="1:5" ht="12" customHeight="1" x14ac:dyDescent="0.2">
      <c r="D1405" s="26" t="s">
        <v>12</v>
      </c>
      <c r="E1405" s="30">
        <v>0</v>
      </c>
    </row>
    <row r="1406" spans="1:5" ht="12" customHeight="1" x14ac:dyDescent="0.2">
      <c r="D1406" s="26" t="s">
        <v>13</v>
      </c>
      <c r="E1406" s="30">
        <v>2543</v>
      </c>
    </row>
    <row r="1407" spans="1:5" ht="12" customHeight="1" x14ac:dyDescent="0.25">
      <c r="A1407" s="2" t="s">
        <v>14</v>
      </c>
      <c r="B1407" s="3" t="s">
        <v>142</v>
      </c>
    </row>
    <row r="1408" spans="1:5" ht="10.95" customHeight="1" x14ac:dyDescent="0.2"/>
    <row r="1409" spans="1:6" ht="45" customHeight="1" x14ac:dyDescent="0.2">
      <c r="A1409" s="4" t="s">
        <v>15</v>
      </c>
      <c r="B1409" s="4" t="s">
        <v>131</v>
      </c>
      <c r="C1409" s="27" t="s">
        <v>17</v>
      </c>
      <c r="D1409" s="27" t="s">
        <v>103</v>
      </c>
      <c r="E1409" s="27" t="s">
        <v>19</v>
      </c>
    </row>
    <row r="1410" spans="1:6" ht="31.5" customHeight="1" x14ac:dyDescent="0.2">
      <c r="A1410" s="5">
        <v>1</v>
      </c>
      <c r="B1410" s="6" t="s">
        <v>190</v>
      </c>
      <c r="C1410" s="16"/>
      <c r="D1410" s="16"/>
      <c r="E1410" s="17">
        <f>E1411+E1418</f>
        <v>3088268.0080000004</v>
      </c>
    </row>
    <row r="1411" spans="1:6" ht="15" customHeight="1" x14ac:dyDescent="0.2">
      <c r="A1411" s="7" t="s">
        <v>21</v>
      </c>
      <c r="B1411" s="6" t="s">
        <v>132</v>
      </c>
      <c r="C1411" s="16"/>
      <c r="D1411" s="16"/>
      <c r="E1411" s="17">
        <f>SUM(E1412:E1417)</f>
        <v>1545100.8480000002</v>
      </c>
    </row>
    <row r="1412" spans="1:6" ht="11.25" customHeight="1" x14ac:dyDescent="0.2">
      <c r="A1412" s="15" t="s">
        <v>23</v>
      </c>
      <c r="B1412" s="9" t="s">
        <v>34</v>
      </c>
      <c r="C1412" s="16">
        <v>2.9</v>
      </c>
      <c r="D1412" s="16">
        <v>18781</v>
      </c>
      <c r="E1412" s="19">
        <f>ROUND(C1412*D1412,2)*12</f>
        <v>653578.80000000005</v>
      </c>
      <c r="F1412" s="20"/>
    </row>
    <row r="1413" spans="1:6" ht="11.25" customHeight="1" x14ac:dyDescent="0.2">
      <c r="A1413" s="8" t="s">
        <v>31</v>
      </c>
      <c r="B1413" s="9" t="s">
        <v>36</v>
      </c>
      <c r="C1413" s="16">
        <v>1.99</v>
      </c>
      <c r="D1413" s="16">
        <v>18781</v>
      </c>
      <c r="E1413" s="19">
        <f>ROUND(C1413*D1413,2)*12</f>
        <v>448490.28</v>
      </c>
    </row>
    <row r="1414" spans="1:6" ht="11.25" customHeight="1" x14ac:dyDescent="0.2">
      <c r="A1414" s="8" t="s">
        <v>121</v>
      </c>
      <c r="B1414" s="9" t="s">
        <v>38</v>
      </c>
      <c r="C1414" s="16">
        <v>30.2</v>
      </c>
      <c r="D1414" s="16">
        <f>E1412</f>
        <v>653578.80000000005</v>
      </c>
      <c r="E1414" s="19">
        <f>ROUND(C1414*D1414/100,2)</f>
        <v>197380.8</v>
      </c>
    </row>
    <row r="1415" spans="1:6" ht="11.25" customHeight="1" x14ac:dyDescent="0.2">
      <c r="A1415" s="8" t="s">
        <v>186</v>
      </c>
      <c r="B1415" s="9" t="s">
        <v>40</v>
      </c>
      <c r="C1415" s="16">
        <v>30.2</v>
      </c>
      <c r="D1415" s="16">
        <f>E1413</f>
        <v>448490.28</v>
      </c>
      <c r="E1415" s="19">
        <f>ROUND(C1415*D1415/100,2)</f>
        <v>135444.06</v>
      </c>
    </row>
    <row r="1416" spans="1:6" ht="11.25" customHeight="1" x14ac:dyDescent="0.2">
      <c r="A1416" s="8" t="s">
        <v>187</v>
      </c>
      <c r="B1416" s="9" t="s">
        <v>42</v>
      </c>
      <c r="C1416" s="16"/>
      <c r="D1416" s="16"/>
      <c r="E1416" s="19">
        <f>E1412*0.1</f>
        <v>65357.880000000005</v>
      </c>
    </row>
    <row r="1417" spans="1:6" ht="11.25" customHeight="1" x14ac:dyDescent="0.2">
      <c r="A1417" s="8" t="s">
        <v>188</v>
      </c>
      <c r="B1417" s="9" t="s">
        <v>44</v>
      </c>
      <c r="C1417" s="16"/>
      <c r="D1417" s="16"/>
      <c r="E1417" s="19">
        <f>E1413*0.1</f>
        <v>44849.028000000006</v>
      </c>
    </row>
    <row r="1418" spans="1:6" ht="15" customHeight="1" x14ac:dyDescent="0.2">
      <c r="A1418" s="7" t="s">
        <v>45</v>
      </c>
      <c r="B1418" s="6" t="s">
        <v>189</v>
      </c>
      <c r="C1418" s="16"/>
      <c r="D1418" s="16"/>
      <c r="E1418" s="17">
        <f>E1419+E1420+E1421+E1422</f>
        <v>1543167.1600000001</v>
      </c>
    </row>
    <row r="1419" spans="1:6" ht="11.25" customHeight="1" x14ac:dyDescent="0.2">
      <c r="A1419" s="8" t="s">
        <v>47</v>
      </c>
      <c r="B1419" s="9" t="s">
        <v>48</v>
      </c>
      <c r="C1419" s="16">
        <v>3.6</v>
      </c>
      <c r="D1419" s="16">
        <v>18781</v>
      </c>
      <c r="E1419" s="19">
        <f>ROUND(C1419*D1419,2)*12</f>
        <v>811339.20000000007</v>
      </c>
      <c r="F1419" s="20"/>
    </row>
    <row r="1420" spans="1:6" ht="11.25" customHeight="1" x14ac:dyDescent="0.2">
      <c r="A1420" s="8" t="s">
        <v>49</v>
      </c>
      <c r="B1420" s="9" t="s">
        <v>50</v>
      </c>
      <c r="C1420" s="16">
        <v>30.2</v>
      </c>
      <c r="D1420" s="16">
        <f>E1419</f>
        <v>811339.20000000007</v>
      </c>
      <c r="E1420" s="19">
        <f>ROUND(C1420*D1420/100,2)</f>
        <v>245024.44</v>
      </c>
    </row>
    <row r="1421" spans="1:6" ht="11.25" customHeight="1" x14ac:dyDescent="0.2">
      <c r="A1421" s="8" t="s">
        <v>51</v>
      </c>
      <c r="B1421" s="9" t="s">
        <v>52</v>
      </c>
      <c r="C1421" s="16"/>
      <c r="D1421" s="16"/>
      <c r="E1421" s="19">
        <f>E1419*0.5</f>
        <v>405669.60000000003</v>
      </c>
    </row>
    <row r="1422" spans="1:6" ht="11.25" customHeight="1" x14ac:dyDescent="0.2">
      <c r="A1422" s="8" t="s">
        <v>53</v>
      </c>
      <c r="B1422" s="9" t="s">
        <v>54</v>
      </c>
      <c r="C1422" s="16"/>
      <c r="D1422" s="16"/>
      <c r="E1422" s="19">
        <f>E1419*0.1</f>
        <v>81133.920000000013</v>
      </c>
    </row>
    <row r="1423" spans="1:6" ht="20.100000000000001" customHeight="1" x14ac:dyDescent="0.2">
      <c r="A1423" s="5">
        <v>2</v>
      </c>
      <c r="B1423" s="6" t="s">
        <v>57</v>
      </c>
      <c r="C1423" s="16"/>
      <c r="D1423" s="16"/>
      <c r="E1423" s="17">
        <f>E1424+E1426+E1427+E1428+E1429+E1430+E1425</f>
        <v>1923660.33</v>
      </c>
    </row>
    <row r="1424" spans="1:6" ht="11.25" customHeight="1" x14ac:dyDescent="0.2">
      <c r="A1424" s="35" t="s">
        <v>58</v>
      </c>
      <c r="B1424" s="9" t="s">
        <v>204</v>
      </c>
      <c r="C1424" s="16">
        <v>1236.8499999999999</v>
      </c>
      <c r="D1424" s="16">
        <f>E1424/C1424</f>
        <v>177.96999636172538</v>
      </c>
      <c r="E1424" s="19">
        <v>220122.19</v>
      </c>
    </row>
    <row r="1425" spans="1:5" ht="11.25" customHeight="1" x14ac:dyDescent="0.2">
      <c r="A1425" s="35" t="s">
        <v>60</v>
      </c>
      <c r="B1425" s="9" t="s">
        <v>195</v>
      </c>
      <c r="C1425" s="16">
        <v>1236.8499999999999</v>
      </c>
      <c r="D1425" s="16">
        <f>E1425/C1425</f>
        <v>219.63343170149977</v>
      </c>
      <c r="E1425" s="19">
        <v>271653.61</v>
      </c>
    </row>
    <row r="1426" spans="1:5" ht="11.25" customHeight="1" x14ac:dyDescent="0.2">
      <c r="A1426" s="35" t="s">
        <v>62</v>
      </c>
      <c r="B1426" s="9" t="s">
        <v>196</v>
      </c>
      <c r="C1426" s="16">
        <v>392.38</v>
      </c>
      <c r="D1426" s="16">
        <f>E1426/C1426</f>
        <v>848.40119272134154</v>
      </c>
      <c r="E1426" s="19">
        <v>332895.65999999997</v>
      </c>
    </row>
    <row r="1427" spans="1:5" ht="11.25" customHeight="1" x14ac:dyDescent="0.2">
      <c r="A1427" s="35" t="s">
        <v>64</v>
      </c>
      <c r="B1427" s="9" t="s">
        <v>63</v>
      </c>
      <c r="C1427" s="16">
        <f>E1427/D1427</f>
        <v>145339.97623400364</v>
      </c>
      <c r="D1427" s="16">
        <v>5.47</v>
      </c>
      <c r="E1427" s="19">
        <f>570779.97+224229.7</f>
        <v>795009.66999999993</v>
      </c>
    </row>
    <row r="1428" spans="1:5" ht="11.25" customHeight="1" x14ac:dyDescent="0.2">
      <c r="A1428" s="35" t="s">
        <v>66</v>
      </c>
      <c r="B1428" s="9" t="s">
        <v>65</v>
      </c>
      <c r="C1428" s="16">
        <f>E1428/D1428</f>
        <v>3538.5718690353842</v>
      </c>
      <c r="D1428" s="16">
        <v>68.11</v>
      </c>
      <c r="E1428" s="19">
        <f>214487.06+19216.28+7308.79</f>
        <v>241012.13</v>
      </c>
    </row>
    <row r="1429" spans="1:5" ht="11.25" customHeight="1" x14ac:dyDescent="0.2">
      <c r="A1429" s="35" t="s">
        <v>68</v>
      </c>
      <c r="B1429" s="9" t="s">
        <v>69</v>
      </c>
      <c r="C1429" s="16">
        <v>2852.7</v>
      </c>
      <c r="D1429" s="16">
        <f>E1429/C1429</f>
        <v>3.3499982472745122</v>
      </c>
      <c r="E1429" s="19">
        <v>9556.5400000000009</v>
      </c>
    </row>
    <row r="1430" spans="1:5" ht="11.25" customHeight="1" x14ac:dyDescent="0.2">
      <c r="A1430" s="35" t="s">
        <v>70</v>
      </c>
      <c r="B1430" s="9" t="s">
        <v>71</v>
      </c>
      <c r="C1430" s="16">
        <v>284.04000000000002</v>
      </c>
      <c r="D1430" s="16">
        <f>E1430/C1430</f>
        <v>188.03876214617657</v>
      </c>
      <c r="E1430" s="19">
        <v>53410.53</v>
      </c>
    </row>
    <row r="1431" spans="1:5" ht="20.100000000000001" customHeight="1" x14ac:dyDescent="0.2">
      <c r="A1431" s="5">
        <v>3</v>
      </c>
      <c r="B1431" s="6" t="s">
        <v>72</v>
      </c>
      <c r="C1431" s="16"/>
      <c r="D1431" s="16"/>
      <c r="E1431" s="17">
        <f>E1432+E1433+E1434+E1435+E1436+E1437+E1438+E1439+E1440+E1442+E1441</f>
        <v>857583.66540199891</v>
      </c>
    </row>
    <row r="1432" spans="1:5" ht="11.25" customHeight="1" x14ac:dyDescent="0.2">
      <c r="A1432" s="8" t="s">
        <v>73</v>
      </c>
      <c r="B1432" s="9" t="s">
        <v>74</v>
      </c>
      <c r="C1432" s="34">
        <v>12</v>
      </c>
      <c r="D1432" s="16">
        <f>E1432/C1432/12</f>
        <v>3117.647013888889</v>
      </c>
      <c r="E1432" s="19">
        <v>448941.17</v>
      </c>
    </row>
    <row r="1433" spans="1:5" ht="11.25" customHeight="1" x14ac:dyDescent="0.2">
      <c r="A1433" s="8" t="s">
        <v>75</v>
      </c>
      <c r="B1433" s="9" t="s">
        <v>76</v>
      </c>
      <c r="C1433" s="16"/>
      <c r="D1433" s="16"/>
      <c r="E1433" s="19">
        <v>0</v>
      </c>
    </row>
    <row r="1434" spans="1:5" ht="11.25" customHeight="1" x14ac:dyDescent="0.2">
      <c r="A1434" s="8" t="s">
        <v>77</v>
      </c>
      <c r="B1434" s="9" t="s">
        <v>78</v>
      </c>
      <c r="C1434" s="16"/>
      <c r="D1434" s="16"/>
      <c r="E1434" s="19">
        <v>0</v>
      </c>
    </row>
    <row r="1435" spans="1:5" ht="11.25" customHeight="1" x14ac:dyDescent="0.2">
      <c r="A1435" s="8" t="s">
        <v>79</v>
      </c>
      <c r="B1435" s="9" t="s">
        <v>80</v>
      </c>
      <c r="C1435" s="16">
        <v>18527.5</v>
      </c>
      <c r="D1435" s="16">
        <f>E1435/C1435</f>
        <v>4.2379651868843604</v>
      </c>
      <c r="E1435" s="19">
        <v>78518.899999999994</v>
      </c>
    </row>
    <row r="1436" spans="1:5" ht="11.25" customHeight="1" x14ac:dyDescent="0.2">
      <c r="A1436" s="8" t="s">
        <v>81</v>
      </c>
      <c r="B1436" s="9" t="s">
        <v>82</v>
      </c>
      <c r="C1436" s="34">
        <v>828</v>
      </c>
      <c r="D1436" s="16">
        <f>E1436/C1436</f>
        <v>71.962874396135263</v>
      </c>
      <c r="E1436" s="19">
        <v>59585.26</v>
      </c>
    </row>
    <row r="1437" spans="1:5" ht="11.25" customHeight="1" x14ac:dyDescent="0.2">
      <c r="A1437" s="8" t="s">
        <v>83</v>
      </c>
      <c r="B1437" s="9" t="s">
        <v>194</v>
      </c>
      <c r="C1437" s="34">
        <v>410</v>
      </c>
      <c r="D1437" s="16">
        <f>E1437/C1437</f>
        <v>85.564829268292684</v>
      </c>
      <c r="E1437" s="19">
        <v>35081.58</v>
      </c>
    </row>
    <row r="1438" spans="1:5" ht="11.25" customHeight="1" x14ac:dyDescent="0.2">
      <c r="A1438" s="8" t="s">
        <v>85</v>
      </c>
      <c r="B1438" s="9" t="s">
        <v>86</v>
      </c>
      <c r="C1438" s="34"/>
      <c r="D1438" s="16"/>
      <c r="E1438" s="19">
        <v>0</v>
      </c>
    </row>
    <row r="1439" spans="1:5" ht="11.25" customHeight="1" x14ac:dyDescent="0.2">
      <c r="A1439" s="8" t="s">
        <v>87</v>
      </c>
      <c r="B1439" s="9" t="s">
        <v>88</v>
      </c>
      <c r="C1439" s="34">
        <v>412</v>
      </c>
      <c r="D1439" s="16">
        <f>E1439/C1439</f>
        <v>493.94699029126213</v>
      </c>
      <c r="E1439" s="19">
        <v>203506.16</v>
      </c>
    </row>
    <row r="1440" spans="1:5" ht="11.25" customHeight="1" x14ac:dyDescent="0.2">
      <c r="A1440" s="8" t="s">
        <v>89</v>
      </c>
      <c r="B1440" s="9" t="s">
        <v>90</v>
      </c>
      <c r="C1440" s="16"/>
      <c r="D1440" s="16"/>
      <c r="E1440" s="19">
        <v>0</v>
      </c>
    </row>
    <row r="1441" spans="1:6" ht="11.25" customHeight="1" x14ac:dyDescent="0.2">
      <c r="A1441" s="8" t="s">
        <v>91</v>
      </c>
      <c r="B1441" s="9" t="s">
        <v>202</v>
      </c>
      <c r="C1441" s="34">
        <v>12</v>
      </c>
      <c r="D1441" s="16">
        <f>E1441/C1441</f>
        <v>2662.5496168332461</v>
      </c>
      <c r="E1441" s="19">
        <f>1773.04*2*1.2+2826.16*10*1.2*0.81663515754</f>
        <v>31950.595401998955</v>
      </c>
    </row>
    <row r="1442" spans="1:6" ht="11.25" customHeight="1" x14ac:dyDescent="0.2">
      <c r="A1442" s="8" t="s">
        <v>203</v>
      </c>
      <c r="B1442" s="9" t="s">
        <v>92</v>
      </c>
      <c r="C1442" s="16"/>
      <c r="D1442" s="16"/>
      <c r="E1442" s="19">
        <v>0</v>
      </c>
    </row>
    <row r="1443" spans="1:6" ht="15" customHeight="1" x14ac:dyDescent="0.2">
      <c r="A1443" s="5">
        <v>4</v>
      </c>
      <c r="B1443" s="6" t="s">
        <v>193</v>
      </c>
      <c r="C1443" s="16"/>
      <c r="D1443" s="16"/>
      <c r="E1443" s="17">
        <f>F1444/1.1*0.1</f>
        <v>586951.19999999995</v>
      </c>
    </row>
    <row r="1444" spans="1:6" ht="18.75" customHeight="1" x14ac:dyDescent="0.2">
      <c r="A1444" s="10"/>
      <c r="B1444" s="11" t="s">
        <v>94</v>
      </c>
      <c r="C1444" s="21"/>
      <c r="D1444" s="21"/>
      <c r="E1444" s="17">
        <f>E1410+E1423+E1431+E1443</f>
        <v>6456463.2034019995</v>
      </c>
      <c r="F1444" s="25">
        <f>E1397*29.04*12</f>
        <v>6456463.1999999993</v>
      </c>
    </row>
    <row r="1445" spans="1:6" ht="15" customHeight="1" x14ac:dyDescent="0.25">
      <c r="A1445" s="10"/>
      <c r="B1445" s="11" t="s">
        <v>199</v>
      </c>
      <c r="C1445" s="21"/>
      <c r="D1445" s="21"/>
      <c r="E1445" s="22">
        <v>29.04</v>
      </c>
    </row>
    <row r="1446" spans="1:6" ht="10.95" customHeight="1" x14ac:dyDescent="0.2"/>
    <row r="1447" spans="1:6" ht="10.95" customHeight="1" x14ac:dyDescent="0.2"/>
    <row r="1448" spans="1:6" ht="10.95" customHeight="1" x14ac:dyDescent="0.2"/>
    <row r="1449" spans="1:6" ht="15" customHeight="1" x14ac:dyDescent="0.25">
      <c r="B1449" s="12" t="s">
        <v>96</v>
      </c>
    </row>
    <row r="1450" spans="1:6" ht="12" customHeight="1" x14ac:dyDescent="0.2"/>
    <row r="1451" spans="1:6" ht="13.2" customHeight="1" x14ac:dyDescent="0.25">
      <c r="B1451" s="3" t="s">
        <v>97</v>
      </c>
    </row>
    <row r="1452" spans="1:6" ht="7.95" customHeight="1" x14ac:dyDescent="0.2"/>
    <row r="1453" spans="1:6" ht="12" customHeight="1" x14ac:dyDescent="0.25">
      <c r="B1453" s="41" t="s">
        <v>100</v>
      </c>
      <c r="C1453" s="41"/>
      <c r="D1453" s="41"/>
      <c r="E1453" s="41"/>
    </row>
    <row r="1454" spans="1:6" ht="10.95" customHeight="1" x14ac:dyDescent="0.2"/>
    <row r="1455" spans="1:6" ht="10.95" customHeight="1" x14ac:dyDescent="0.2"/>
    <row r="1456" spans="1:6" ht="10.95" customHeight="1" x14ac:dyDescent="0.2"/>
    <row r="1457" spans="1:5" ht="16.2" customHeight="1" x14ac:dyDescent="0.2">
      <c r="A1457" s="39" t="s">
        <v>0</v>
      </c>
      <c r="B1457" s="39"/>
      <c r="C1457" s="39"/>
      <c r="D1457" s="39"/>
      <c r="E1457" s="39"/>
    </row>
    <row r="1458" spans="1:5" ht="10.95" customHeight="1" x14ac:dyDescent="0.2">
      <c r="A1458" s="40" t="s">
        <v>1</v>
      </c>
      <c r="B1458" s="40"/>
      <c r="C1458" s="40"/>
      <c r="D1458" s="40"/>
      <c r="E1458" s="40"/>
    </row>
    <row r="1459" spans="1:5" ht="13.2" customHeight="1" x14ac:dyDescent="0.2">
      <c r="A1459" s="40" t="s">
        <v>198</v>
      </c>
      <c r="B1459" s="40"/>
      <c r="C1459" s="40"/>
      <c r="D1459" s="40"/>
      <c r="E1459" s="40"/>
    </row>
    <row r="1460" spans="1:5" ht="10.95" customHeight="1" x14ac:dyDescent="0.2"/>
    <row r="1461" spans="1:5" ht="10.95" customHeight="1" x14ac:dyDescent="0.2">
      <c r="C1461" s="42" t="s">
        <v>3</v>
      </c>
      <c r="D1461" s="42"/>
      <c r="E1461" s="42"/>
    </row>
    <row r="1462" spans="1:5" ht="12" customHeight="1" x14ac:dyDescent="0.2">
      <c r="D1462" s="26" t="s">
        <v>4</v>
      </c>
      <c r="E1462" s="24">
        <v>4051.2</v>
      </c>
    </row>
    <row r="1463" spans="1:5" ht="12" customHeight="1" x14ac:dyDescent="0.2">
      <c r="D1463" s="26" t="s">
        <v>5</v>
      </c>
      <c r="E1463" s="23">
        <v>617</v>
      </c>
    </row>
    <row r="1464" spans="1:5" ht="12" customHeight="1" x14ac:dyDescent="0.2">
      <c r="D1464" s="26" t="s">
        <v>6</v>
      </c>
      <c r="E1464" s="30">
        <v>1</v>
      </c>
    </row>
    <row r="1465" spans="1:5" ht="12" customHeight="1" x14ac:dyDescent="0.2">
      <c r="D1465" s="26" t="s">
        <v>7</v>
      </c>
      <c r="E1465" s="30">
        <v>14</v>
      </c>
    </row>
    <row r="1466" spans="1:5" ht="12" customHeight="1" x14ac:dyDescent="0.2">
      <c r="D1466" s="26" t="s">
        <v>8</v>
      </c>
      <c r="E1466" s="30">
        <v>94</v>
      </c>
    </row>
    <row r="1467" spans="1:5" ht="12" customHeight="1" x14ac:dyDescent="0.2">
      <c r="D1467" s="26" t="s">
        <v>9</v>
      </c>
      <c r="E1467" s="30">
        <v>187</v>
      </c>
    </row>
    <row r="1468" spans="1:5" ht="12" customHeight="1" x14ac:dyDescent="0.2">
      <c r="D1468" s="26" t="s">
        <v>10</v>
      </c>
      <c r="E1468" s="30">
        <v>2</v>
      </c>
    </row>
    <row r="1469" spans="1:5" ht="12" customHeight="1" x14ac:dyDescent="0.2">
      <c r="D1469" s="26" t="s">
        <v>11</v>
      </c>
      <c r="E1469" s="30">
        <v>1</v>
      </c>
    </row>
    <row r="1470" spans="1:5" ht="12" customHeight="1" x14ac:dyDescent="0.2">
      <c r="D1470" s="26" t="s">
        <v>12</v>
      </c>
      <c r="E1470" s="30">
        <v>0</v>
      </c>
    </row>
    <row r="1471" spans="1:5" ht="12" customHeight="1" x14ac:dyDescent="0.2">
      <c r="D1471" s="26" t="s">
        <v>13</v>
      </c>
      <c r="E1471" s="30">
        <v>561</v>
      </c>
    </row>
    <row r="1472" spans="1:5" ht="12" customHeight="1" x14ac:dyDescent="0.25">
      <c r="A1472" s="2" t="s">
        <v>14</v>
      </c>
      <c r="B1472" s="3" t="s">
        <v>143</v>
      </c>
    </row>
    <row r="1473" spans="1:6" ht="10.95" customHeight="1" x14ac:dyDescent="0.2"/>
    <row r="1474" spans="1:6" ht="45" customHeight="1" x14ac:dyDescent="0.2">
      <c r="A1474" s="4" t="s">
        <v>15</v>
      </c>
      <c r="B1474" s="4" t="s">
        <v>131</v>
      </c>
      <c r="C1474" s="27" t="s">
        <v>17</v>
      </c>
      <c r="D1474" s="27" t="s">
        <v>103</v>
      </c>
      <c r="E1474" s="27" t="s">
        <v>19</v>
      </c>
    </row>
    <row r="1475" spans="1:6" ht="31.5" customHeight="1" x14ac:dyDescent="0.2">
      <c r="A1475" s="5">
        <v>1</v>
      </c>
      <c r="B1475" s="6" t="s">
        <v>190</v>
      </c>
      <c r="C1475" s="16"/>
      <c r="D1475" s="16"/>
      <c r="E1475" s="17">
        <f>E1476+E1483</f>
        <v>602212.01800000004</v>
      </c>
    </row>
    <row r="1476" spans="1:6" ht="15" customHeight="1" x14ac:dyDescent="0.2">
      <c r="A1476" s="7" t="s">
        <v>21</v>
      </c>
      <c r="B1476" s="6" t="s">
        <v>132</v>
      </c>
      <c r="C1476" s="16"/>
      <c r="D1476" s="16"/>
      <c r="E1476" s="17">
        <f>SUM(E1477:E1482)</f>
        <v>289467.80000000005</v>
      </c>
    </row>
    <row r="1477" spans="1:6" ht="11.25" customHeight="1" x14ac:dyDescent="0.2">
      <c r="A1477" s="15" t="s">
        <v>23</v>
      </c>
      <c r="B1477" s="9" t="s">
        <v>34</v>
      </c>
      <c r="C1477" s="16">
        <v>0.52</v>
      </c>
      <c r="D1477" s="16">
        <v>18781</v>
      </c>
      <c r="E1477" s="19">
        <f>ROUND(C1477*D1477,2)*12</f>
        <v>117193.44</v>
      </c>
      <c r="F1477" s="20"/>
    </row>
    <row r="1478" spans="1:6" ht="11.25" customHeight="1" x14ac:dyDescent="0.2">
      <c r="A1478" s="8" t="s">
        <v>31</v>
      </c>
      <c r="B1478" s="9" t="s">
        <v>36</v>
      </c>
      <c r="C1478" s="16">
        <v>0.43</v>
      </c>
      <c r="D1478" s="16">
        <v>18781</v>
      </c>
      <c r="E1478" s="19">
        <f>ROUND(C1478*D1478,2)*12</f>
        <v>96909.959999999992</v>
      </c>
    </row>
    <row r="1479" spans="1:6" ht="11.25" customHeight="1" x14ac:dyDescent="0.2">
      <c r="A1479" s="8" t="s">
        <v>121</v>
      </c>
      <c r="B1479" s="9" t="s">
        <v>38</v>
      </c>
      <c r="C1479" s="16">
        <v>30.2</v>
      </c>
      <c r="D1479" s="16">
        <f>E1477</f>
        <v>117193.44</v>
      </c>
      <c r="E1479" s="19">
        <f>ROUND(C1479*D1479/100,2)</f>
        <v>35392.42</v>
      </c>
    </row>
    <row r="1480" spans="1:6" ht="11.25" customHeight="1" x14ac:dyDescent="0.2">
      <c r="A1480" s="8" t="s">
        <v>186</v>
      </c>
      <c r="B1480" s="9" t="s">
        <v>40</v>
      </c>
      <c r="C1480" s="16">
        <v>30.2</v>
      </c>
      <c r="D1480" s="16">
        <f>E1478</f>
        <v>96909.959999999992</v>
      </c>
      <c r="E1480" s="19">
        <f>ROUND(C1480*D1480/100,2)</f>
        <v>29266.81</v>
      </c>
    </row>
    <row r="1481" spans="1:6" ht="11.25" customHeight="1" x14ac:dyDescent="0.2">
      <c r="A1481" s="8" t="s">
        <v>187</v>
      </c>
      <c r="B1481" s="9" t="s">
        <v>42</v>
      </c>
      <c r="C1481" s="16"/>
      <c r="D1481" s="16"/>
      <c r="E1481" s="19">
        <f>E1477*0.05</f>
        <v>5859.6720000000005</v>
      </c>
    </row>
    <row r="1482" spans="1:6" ht="11.25" customHeight="1" x14ac:dyDescent="0.2">
      <c r="A1482" s="8" t="s">
        <v>188</v>
      </c>
      <c r="B1482" s="9" t="s">
        <v>44</v>
      </c>
      <c r="C1482" s="16"/>
      <c r="D1482" s="16"/>
      <c r="E1482" s="19">
        <f>E1478*0.05</f>
        <v>4845.4979999999996</v>
      </c>
    </row>
    <row r="1483" spans="1:6" ht="15" customHeight="1" x14ac:dyDescent="0.2">
      <c r="A1483" s="7" t="s">
        <v>45</v>
      </c>
      <c r="B1483" s="6" t="s">
        <v>189</v>
      </c>
      <c r="C1483" s="16"/>
      <c r="D1483" s="16"/>
      <c r="E1483" s="17">
        <f>E1484+E1485+E1486+E1487</f>
        <v>312744.21799999999</v>
      </c>
    </row>
    <row r="1484" spans="1:6" ht="11.25" customHeight="1" x14ac:dyDescent="0.2">
      <c r="A1484" s="8" t="s">
        <v>47</v>
      </c>
      <c r="B1484" s="9" t="s">
        <v>48</v>
      </c>
      <c r="C1484" s="16">
        <v>0.84</v>
      </c>
      <c r="D1484" s="16">
        <v>18781</v>
      </c>
      <c r="E1484" s="19">
        <f>ROUND(C1484*D1484,2)*12</f>
        <v>189312.48</v>
      </c>
      <c r="F1484" s="20"/>
    </row>
    <row r="1485" spans="1:6" ht="11.25" customHeight="1" x14ac:dyDescent="0.2">
      <c r="A1485" s="8" t="s">
        <v>49</v>
      </c>
      <c r="B1485" s="9" t="s">
        <v>50</v>
      </c>
      <c r="C1485" s="16">
        <v>30.2</v>
      </c>
      <c r="D1485" s="16">
        <f>E1484</f>
        <v>189312.48</v>
      </c>
      <c r="E1485" s="19">
        <f>ROUND(C1485*D1485/100,2)</f>
        <v>57172.37</v>
      </c>
    </row>
    <row r="1486" spans="1:6" ht="11.25" customHeight="1" x14ac:dyDescent="0.2">
      <c r="A1486" s="8" t="s">
        <v>51</v>
      </c>
      <c r="B1486" s="9" t="s">
        <v>52</v>
      </c>
      <c r="C1486" s="16"/>
      <c r="D1486" s="16"/>
      <c r="E1486" s="19">
        <f>E1484*0.3</f>
        <v>56793.743999999999</v>
      </c>
    </row>
    <row r="1487" spans="1:6" ht="11.25" customHeight="1" x14ac:dyDescent="0.2">
      <c r="A1487" s="8" t="s">
        <v>53</v>
      </c>
      <c r="B1487" s="9" t="s">
        <v>54</v>
      </c>
      <c r="C1487" s="16"/>
      <c r="D1487" s="16"/>
      <c r="E1487" s="19">
        <f>E1484*0.05</f>
        <v>9465.6240000000016</v>
      </c>
    </row>
    <row r="1488" spans="1:6" ht="20.100000000000001" customHeight="1" x14ac:dyDescent="0.2">
      <c r="A1488" s="5">
        <v>2</v>
      </c>
      <c r="B1488" s="6" t="s">
        <v>57</v>
      </c>
      <c r="C1488" s="16"/>
      <c r="D1488" s="16"/>
      <c r="E1488" s="17">
        <f>E1489+E1491+E1492+E1493+E1494+E1495+E1490</f>
        <v>431176.83999999997</v>
      </c>
    </row>
    <row r="1489" spans="1:5" ht="11.25" customHeight="1" x14ac:dyDescent="0.2">
      <c r="A1489" s="35" t="s">
        <v>58</v>
      </c>
      <c r="B1489" s="9" t="s">
        <v>204</v>
      </c>
      <c r="C1489" s="16">
        <v>271.14999999999998</v>
      </c>
      <c r="D1489" s="16">
        <f>E1489/C1489</f>
        <v>177.9700165959801</v>
      </c>
      <c r="E1489" s="19">
        <v>48256.57</v>
      </c>
    </row>
    <row r="1490" spans="1:5" ht="11.25" customHeight="1" x14ac:dyDescent="0.2">
      <c r="A1490" s="35" t="s">
        <v>60</v>
      </c>
      <c r="B1490" s="9" t="s">
        <v>195</v>
      </c>
      <c r="C1490" s="16">
        <v>271.14999999999998</v>
      </c>
      <c r="D1490" s="16">
        <f>E1490/C1490</f>
        <v>219.63345011985987</v>
      </c>
      <c r="E1490" s="19">
        <v>59553.61</v>
      </c>
    </row>
    <row r="1491" spans="1:5" ht="11.25" customHeight="1" x14ac:dyDescent="0.2">
      <c r="A1491" s="35" t="s">
        <v>62</v>
      </c>
      <c r="B1491" s="9" t="s">
        <v>196</v>
      </c>
      <c r="C1491" s="16">
        <v>86.02</v>
      </c>
      <c r="D1491" s="16">
        <f>E1491/C1491</f>
        <v>848.40130202278544</v>
      </c>
      <c r="E1491" s="19">
        <v>72979.48</v>
      </c>
    </row>
    <row r="1492" spans="1:5" ht="11.25" customHeight="1" x14ac:dyDescent="0.2">
      <c r="A1492" s="35" t="s">
        <v>64</v>
      </c>
      <c r="B1492" s="9" t="s">
        <v>63</v>
      </c>
      <c r="C1492" s="16">
        <f>E1492/D1492</f>
        <v>33657.983546617914</v>
      </c>
      <c r="D1492" s="16">
        <v>5.47</v>
      </c>
      <c r="E1492" s="19">
        <f>263644.3-9343.46-70191.67</f>
        <v>184109.16999999998</v>
      </c>
    </row>
    <row r="1493" spans="1:5" ht="11.25" customHeight="1" x14ac:dyDescent="0.2">
      <c r="A1493" s="35" t="s">
        <v>66</v>
      </c>
      <c r="B1493" s="9" t="s">
        <v>65</v>
      </c>
      <c r="C1493" s="16">
        <f>E1493/D1493</f>
        <v>854.04786374981654</v>
      </c>
      <c r="D1493" s="16">
        <v>68.11</v>
      </c>
      <c r="E1493" s="19">
        <f>51269.15+6900.05</f>
        <v>58169.200000000004</v>
      </c>
    </row>
    <row r="1494" spans="1:5" ht="11.25" customHeight="1" x14ac:dyDescent="0.2">
      <c r="A1494" s="35" t="s">
        <v>68</v>
      </c>
      <c r="B1494" s="9" t="s">
        <v>69</v>
      </c>
      <c r="C1494" s="16">
        <v>353.8</v>
      </c>
      <c r="D1494" s="16">
        <f>E1494/C1494</f>
        <v>3.35</v>
      </c>
      <c r="E1494" s="19">
        <v>1185.23</v>
      </c>
    </row>
    <row r="1495" spans="1:5" ht="11.25" customHeight="1" x14ac:dyDescent="0.2">
      <c r="A1495" s="35" t="s">
        <v>70</v>
      </c>
      <c r="B1495" s="9" t="s">
        <v>71</v>
      </c>
      <c r="C1495" s="16">
        <v>36.82</v>
      </c>
      <c r="D1495" s="16">
        <f>E1495/C1495</f>
        <v>188.03856599674089</v>
      </c>
      <c r="E1495" s="19">
        <v>6923.58</v>
      </c>
    </row>
    <row r="1496" spans="1:5" ht="20.100000000000001" customHeight="1" x14ac:dyDescent="0.2">
      <c r="A1496" s="5">
        <v>3</v>
      </c>
      <c r="B1496" s="6" t="s">
        <v>72</v>
      </c>
      <c r="C1496" s="16"/>
      <c r="D1496" s="16"/>
      <c r="E1496" s="17">
        <f>E1497+E1498+E1499+E1500+E1501+E1502+E1503+E1504+E1505+E1507+E1506</f>
        <v>250031.29988039978</v>
      </c>
    </row>
    <row r="1497" spans="1:5" ht="11.25" customHeight="1" x14ac:dyDescent="0.2">
      <c r="A1497" s="8" t="s">
        <v>73</v>
      </c>
      <c r="B1497" s="9" t="s">
        <v>74</v>
      </c>
      <c r="C1497" s="34">
        <v>2</v>
      </c>
      <c r="D1497" s="16">
        <f>E1497/C1497/12</f>
        <v>4038.5520833333335</v>
      </c>
      <c r="E1497" s="19">
        <v>96925.25</v>
      </c>
    </row>
    <row r="1498" spans="1:5" ht="11.25" customHeight="1" x14ac:dyDescent="0.2">
      <c r="A1498" s="8" t="s">
        <v>75</v>
      </c>
      <c r="B1498" s="9" t="s">
        <v>76</v>
      </c>
      <c r="C1498" s="34"/>
      <c r="D1498" s="16"/>
      <c r="E1498" s="19">
        <v>0</v>
      </c>
    </row>
    <row r="1499" spans="1:5" ht="11.25" customHeight="1" x14ac:dyDescent="0.2">
      <c r="A1499" s="8" t="s">
        <v>77</v>
      </c>
      <c r="B1499" s="9" t="s">
        <v>78</v>
      </c>
      <c r="C1499" s="34">
        <v>1</v>
      </c>
      <c r="D1499" s="16">
        <f>E1499/C1499/12</f>
        <v>4345.7524999999996</v>
      </c>
      <c r="E1499" s="19">
        <v>52149.03</v>
      </c>
    </row>
    <row r="1500" spans="1:5" ht="11.25" customHeight="1" x14ac:dyDescent="0.2">
      <c r="A1500" s="8" t="s">
        <v>79</v>
      </c>
      <c r="B1500" s="9" t="s">
        <v>80</v>
      </c>
      <c r="C1500" s="16">
        <v>4051.2</v>
      </c>
      <c r="D1500" s="16">
        <f>E1500/C1500</f>
        <v>4.7821262835703005</v>
      </c>
      <c r="E1500" s="19">
        <v>19373.349999999999</v>
      </c>
    </row>
    <row r="1501" spans="1:5" ht="11.25" customHeight="1" x14ac:dyDescent="0.2">
      <c r="A1501" s="8" t="s">
        <v>81</v>
      </c>
      <c r="B1501" s="9" t="s">
        <v>82</v>
      </c>
      <c r="C1501" s="34">
        <v>188</v>
      </c>
      <c r="D1501" s="16">
        <f>E1501/C1501</f>
        <v>68.462553191489363</v>
      </c>
      <c r="E1501" s="19">
        <v>12870.96</v>
      </c>
    </row>
    <row r="1502" spans="1:5" ht="11.25" customHeight="1" x14ac:dyDescent="0.2">
      <c r="A1502" s="8" t="s">
        <v>83</v>
      </c>
      <c r="B1502" s="9" t="s">
        <v>194</v>
      </c>
      <c r="C1502" s="34">
        <v>94</v>
      </c>
      <c r="D1502" s="16">
        <f>E1502/C1502</f>
        <v>87.862765957446811</v>
      </c>
      <c r="E1502" s="19">
        <v>8259.1</v>
      </c>
    </row>
    <row r="1503" spans="1:5" ht="11.25" customHeight="1" x14ac:dyDescent="0.2">
      <c r="A1503" s="8" t="s">
        <v>85</v>
      </c>
      <c r="B1503" s="9" t="s">
        <v>86</v>
      </c>
      <c r="C1503" s="16">
        <v>0.5</v>
      </c>
      <c r="D1503" s="16">
        <f>E1503/C1503</f>
        <v>19206.259999999998</v>
      </c>
      <c r="E1503" s="19">
        <v>9603.1299999999992</v>
      </c>
    </row>
    <row r="1504" spans="1:5" ht="11.25" customHeight="1" x14ac:dyDescent="0.2">
      <c r="A1504" s="8" t="s">
        <v>87</v>
      </c>
      <c r="B1504" s="9" t="s">
        <v>88</v>
      </c>
      <c r="C1504" s="34">
        <v>94</v>
      </c>
      <c r="D1504" s="16">
        <f>E1504/C1504</f>
        <v>482.0363829787234</v>
      </c>
      <c r="E1504" s="19">
        <v>45311.42</v>
      </c>
    </row>
    <row r="1505" spans="1:6" ht="11.25" customHeight="1" x14ac:dyDescent="0.2">
      <c r="A1505" s="8" t="s">
        <v>89</v>
      </c>
      <c r="B1505" s="9" t="s">
        <v>90</v>
      </c>
      <c r="C1505" s="16"/>
      <c r="D1505" s="16"/>
      <c r="E1505" s="19">
        <v>0</v>
      </c>
    </row>
    <row r="1506" spans="1:6" ht="11.25" customHeight="1" x14ac:dyDescent="0.2">
      <c r="A1506" s="8" t="s">
        <v>91</v>
      </c>
      <c r="B1506" s="9" t="s">
        <v>202</v>
      </c>
      <c r="C1506" s="34">
        <v>2</v>
      </c>
      <c r="D1506" s="16">
        <f>E1506/C1506</f>
        <v>2769.5299401998955</v>
      </c>
      <c r="E1506" s="19">
        <f>2826.16*2*1.2*0.81663515754</f>
        <v>5539.0598803997909</v>
      </c>
    </row>
    <row r="1507" spans="1:6" ht="11.25" customHeight="1" x14ac:dyDescent="0.2">
      <c r="A1507" s="8" t="s">
        <v>203</v>
      </c>
      <c r="B1507" s="9" t="s">
        <v>92</v>
      </c>
      <c r="C1507" s="16"/>
      <c r="D1507" s="16"/>
      <c r="E1507" s="19">
        <v>0</v>
      </c>
    </row>
    <row r="1508" spans="1:6" ht="15" customHeight="1" x14ac:dyDescent="0.2">
      <c r="A1508" s="5">
        <v>4</v>
      </c>
      <c r="B1508" s="6" t="s">
        <v>193</v>
      </c>
      <c r="C1508" s="16"/>
      <c r="D1508" s="16"/>
      <c r="E1508" s="17">
        <f>ROUND(F1509/1.1*0.1,2)</f>
        <v>128342.02</v>
      </c>
    </row>
    <row r="1509" spans="1:6" ht="18.75" customHeight="1" x14ac:dyDescent="0.2">
      <c r="A1509" s="10"/>
      <c r="B1509" s="11" t="s">
        <v>94</v>
      </c>
      <c r="C1509" s="21"/>
      <c r="D1509" s="21"/>
      <c r="E1509" s="17">
        <f>E1475+E1488+E1496+E1508</f>
        <v>1411762.1778803999</v>
      </c>
      <c r="F1509" s="25">
        <f>E1462*29.04*12</f>
        <v>1411762.176</v>
      </c>
    </row>
    <row r="1510" spans="1:6" ht="15" customHeight="1" x14ac:dyDescent="0.25">
      <c r="A1510" s="10"/>
      <c r="B1510" s="11" t="s">
        <v>199</v>
      </c>
      <c r="C1510" s="21"/>
      <c r="D1510" s="21"/>
      <c r="E1510" s="22">
        <v>29.04</v>
      </c>
    </row>
    <row r="1511" spans="1:6" ht="10.95" customHeight="1" x14ac:dyDescent="0.2"/>
    <row r="1512" spans="1:6" ht="10.95" customHeight="1" x14ac:dyDescent="0.2"/>
    <row r="1513" spans="1:6" ht="10.95" customHeight="1" x14ac:dyDescent="0.2"/>
    <row r="1514" spans="1:6" ht="15" customHeight="1" x14ac:dyDescent="0.25">
      <c r="B1514" s="12" t="s">
        <v>96</v>
      </c>
    </row>
    <row r="1515" spans="1:6" ht="12" customHeight="1" x14ac:dyDescent="0.2"/>
    <row r="1516" spans="1:6" ht="13.2" customHeight="1" x14ac:dyDescent="0.25">
      <c r="B1516" s="3" t="s">
        <v>97</v>
      </c>
    </row>
    <row r="1517" spans="1:6" ht="7.95" customHeight="1" x14ac:dyDescent="0.2"/>
    <row r="1518" spans="1:6" ht="12" customHeight="1" x14ac:dyDescent="0.25">
      <c r="B1518" s="41" t="s">
        <v>100</v>
      </c>
      <c r="C1518" s="41"/>
      <c r="D1518" s="41"/>
      <c r="E1518" s="41"/>
    </row>
    <row r="1519" spans="1:6" ht="10.95" customHeight="1" x14ac:dyDescent="0.2"/>
    <row r="1520" spans="1:6" ht="10.95" customHeight="1" x14ac:dyDescent="0.2"/>
    <row r="1521" spans="1:5" ht="10.95" customHeight="1" x14ac:dyDescent="0.2"/>
    <row r="1522" spans="1:5" ht="16.2" customHeight="1" x14ac:dyDescent="0.2">
      <c r="A1522" s="39" t="s">
        <v>0</v>
      </c>
      <c r="B1522" s="39"/>
      <c r="C1522" s="39"/>
      <c r="D1522" s="39"/>
      <c r="E1522" s="39"/>
    </row>
    <row r="1523" spans="1:5" ht="10.95" customHeight="1" x14ac:dyDescent="0.2">
      <c r="A1523" s="40" t="s">
        <v>1</v>
      </c>
      <c r="B1523" s="40"/>
      <c r="C1523" s="40"/>
      <c r="D1523" s="40"/>
      <c r="E1523" s="40"/>
    </row>
    <row r="1524" spans="1:5" ht="13.2" customHeight="1" x14ac:dyDescent="0.2">
      <c r="A1524" s="40" t="s">
        <v>198</v>
      </c>
      <c r="B1524" s="40"/>
      <c r="C1524" s="40"/>
      <c r="D1524" s="40"/>
      <c r="E1524" s="40"/>
    </row>
    <row r="1525" spans="1:5" ht="10.95" customHeight="1" x14ac:dyDescent="0.2"/>
    <row r="1526" spans="1:5" ht="10.95" customHeight="1" x14ac:dyDescent="0.2">
      <c r="C1526" s="42" t="s">
        <v>3</v>
      </c>
      <c r="D1526" s="42"/>
      <c r="E1526" s="42"/>
    </row>
    <row r="1527" spans="1:5" ht="12" customHeight="1" x14ac:dyDescent="0.2">
      <c r="D1527" s="26" t="s">
        <v>4</v>
      </c>
      <c r="E1527" s="24">
        <v>12545.4</v>
      </c>
    </row>
    <row r="1528" spans="1:5" ht="12" customHeight="1" x14ac:dyDescent="0.2">
      <c r="D1528" s="26" t="s">
        <v>5</v>
      </c>
      <c r="E1528" s="23">
        <v>43.6</v>
      </c>
    </row>
    <row r="1529" spans="1:5" ht="12" customHeight="1" x14ac:dyDescent="0.2">
      <c r="D1529" s="26" t="s">
        <v>6</v>
      </c>
      <c r="E1529" s="30">
        <v>8</v>
      </c>
    </row>
    <row r="1530" spans="1:5" ht="12" customHeight="1" x14ac:dyDescent="0.2">
      <c r="D1530" s="26" t="s">
        <v>7</v>
      </c>
      <c r="E1530" s="30">
        <v>9</v>
      </c>
    </row>
    <row r="1531" spans="1:5" ht="12" customHeight="1" x14ac:dyDescent="0.2">
      <c r="D1531" s="26" t="s">
        <v>8</v>
      </c>
      <c r="E1531" s="30">
        <v>282</v>
      </c>
    </row>
    <row r="1532" spans="1:5" ht="12" customHeight="1" x14ac:dyDescent="0.2">
      <c r="D1532" s="26" t="s">
        <v>9</v>
      </c>
      <c r="E1532" s="30">
        <v>688</v>
      </c>
    </row>
    <row r="1533" spans="1:5" ht="12" customHeight="1" x14ac:dyDescent="0.2">
      <c r="D1533" s="26" t="s">
        <v>10</v>
      </c>
      <c r="E1533" s="30">
        <v>8</v>
      </c>
    </row>
    <row r="1534" spans="1:5" ht="12" customHeight="1" x14ac:dyDescent="0.2">
      <c r="D1534" s="26" t="s">
        <v>11</v>
      </c>
      <c r="E1534" s="30">
        <v>0</v>
      </c>
    </row>
    <row r="1535" spans="1:5" ht="12" customHeight="1" x14ac:dyDescent="0.2">
      <c r="D1535" s="26" t="s">
        <v>12</v>
      </c>
      <c r="E1535" s="30">
        <v>0</v>
      </c>
    </row>
    <row r="1536" spans="1:5" ht="12" customHeight="1" x14ac:dyDescent="0.2">
      <c r="D1536" s="26" t="s">
        <v>13</v>
      </c>
      <c r="E1536" s="30">
        <v>1495</v>
      </c>
    </row>
    <row r="1537" spans="1:6" ht="12" customHeight="1" x14ac:dyDescent="0.25">
      <c r="A1537" s="2" t="s">
        <v>14</v>
      </c>
      <c r="B1537" s="3" t="s">
        <v>144</v>
      </c>
    </row>
    <row r="1538" spans="1:6" ht="10.95" customHeight="1" x14ac:dyDescent="0.2"/>
    <row r="1539" spans="1:6" ht="45" customHeight="1" x14ac:dyDescent="0.2">
      <c r="A1539" s="4" t="s">
        <v>15</v>
      </c>
      <c r="B1539" s="4" t="s">
        <v>131</v>
      </c>
      <c r="C1539" s="27" t="s">
        <v>17</v>
      </c>
      <c r="D1539" s="27" t="s">
        <v>103</v>
      </c>
      <c r="E1539" s="27" t="s">
        <v>19</v>
      </c>
    </row>
    <row r="1540" spans="1:6" ht="31.5" customHeight="1" x14ac:dyDescent="0.2">
      <c r="A1540" s="5">
        <v>1</v>
      </c>
      <c r="B1540" s="6" t="s">
        <v>190</v>
      </c>
      <c r="C1540" s="16"/>
      <c r="D1540" s="16"/>
      <c r="E1540" s="17">
        <f>E1541+E1548</f>
        <v>2249266.6440000003</v>
      </c>
    </row>
    <row r="1541" spans="1:6" ht="15" customHeight="1" x14ac:dyDescent="0.2">
      <c r="A1541" s="7" t="s">
        <v>21</v>
      </c>
      <c r="B1541" s="6" t="s">
        <v>132</v>
      </c>
      <c r="C1541" s="16"/>
      <c r="D1541" s="16"/>
      <c r="E1541" s="17">
        <f>SUM(E1542:E1547)</f>
        <v>1049025.524</v>
      </c>
    </row>
    <row r="1542" spans="1:6" ht="11.25" customHeight="1" x14ac:dyDescent="0.2">
      <c r="A1542" s="15" t="s">
        <v>23</v>
      </c>
      <c r="B1542" s="9" t="s">
        <v>34</v>
      </c>
      <c r="C1542" s="16">
        <v>1.71</v>
      </c>
      <c r="D1542" s="16">
        <v>18781</v>
      </c>
      <c r="E1542" s="19">
        <f>ROUND(C1542*D1542,2)*12</f>
        <v>385386.12</v>
      </c>
      <c r="F1542" s="20"/>
    </row>
    <row r="1543" spans="1:6" ht="11.25" customHeight="1" x14ac:dyDescent="0.2">
      <c r="A1543" s="8" t="s">
        <v>31</v>
      </c>
      <c r="B1543" s="9" t="s">
        <v>36</v>
      </c>
      <c r="C1543" s="16">
        <v>1.61</v>
      </c>
      <c r="D1543" s="16">
        <v>18781</v>
      </c>
      <c r="E1543" s="19">
        <f>ROUND(C1543*D1543,2)*12</f>
        <v>362848.92</v>
      </c>
    </row>
    <row r="1544" spans="1:6" ht="11.25" customHeight="1" x14ac:dyDescent="0.2">
      <c r="A1544" s="8" t="s">
        <v>121</v>
      </c>
      <c r="B1544" s="9" t="s">
        <v>38</v>
      </c>
      <c r="C1544" s="16">
        <v>30.2</v>
      </c>
      <c r="D1544" s="16">
        <f>E1542</f>
        <v>385386.12</v>
      </c>
      <c r="E1544" s="19">
        <f>ROUND(C1544*D1544/100,2)</f>
        <v>116386.61</v>
      </c>
    </row>
    <row r="1545" spans="1:6" ht="11.25" customHeight="1" x14ac:dyDescent="0.2">
      <c r="A1545" s="8" t="s">
        <v>186</v>
      </c>
      <c r="B1545" s="9" t="s">
        <v>40</v>
      </c>
      <c r="C1545" s="16">
        <v>30.2</v>
      </c>
      <c r="D1545" s="16">
        <f>E1543</f>
        <v>362848.92</v>
      </c>
      <c r="E1545" s="19">
        <f>ROUND(C1545*D1545/100,2)</f>
        <v>109580.37</v>
      </c>
    </row>
    <row r="1546" spans="1:6" ht="11.25" customHeight="1" x14ac:dyDescent="0.2">
      <c r="A1546" s="8" t="s">
        <v>187</v>
      </c>
      <c r="B1546" s="9" t="s">
        <v>42</v>
      </c>
      <c r="C1546" s="16"/>
      <c r="D1546" s="16"/>
      <c r="E1546" s="19">
        <f>E1542*0.1</f>
        <v>38538.612000000001</v>
      </c>
    </row>
    <row r="1547" spans="1:6" ht="11.25" customHeight="1" x14ac:dyDescent="0.2">
      <c r="A1547" s="8" t="s">
        <v>188</v>
      </c>
      <c r="B1547" s="9" t="s">
        <v>44</v>
      </c>
      <c r="C1547" s="16"/>
      <c r="D1547" s="16"/>
      <c r="E1547" s="19">
        <f>E1543*0.1</f>
        <v>36284.892</v>
      </c>
    </row>
    <row r="1548" spans="1:6" ht="15" customHeight="1" x14ac:dyDescent="0.2">
      <c r="A1548" s="7" t="s">
        <v>45</v>
      </c>
      <c r="B1548" s="6" t="s">
        <v>189</v>
      </c>
      <c r="C1548" s="16"/>
      <c r="D1548" s="16"/>
      <c r="E1548" s="17">
        <f>E1549+E1550+E1551+E1552</f>
        <v>1200241.1200000001</v>
      </c>
    </row>
    <row r="1549" spans="1:6" ht="11.25" customHeight="1" x14ac:dyDescent="0.2">
      <c r="A1549" s="8" t="s">
        <v>47</v>
      </c>
      <c r="B1549" s="9" t="s">
        <v>48</v>
      </c>
      <c r="C1549" s="16">
        <f>2.39+0.16+0.25</f>
        <v>2.8000000000000003</v>
      </c>
      <c r="D1549" s="16">
        <v>18781</v>
      </c>
      <c r="E1549" s="19">
        <f>ROUND(C1549*D1549,2)*12</f>
        <v>631041.60000000009</v>
      </c>
      <c r="F1549" s="20"/>
    </row>
    <row r="1550" spans="1:6" ht="11.25" customHeight="1" x14ac:dyDescent="0.2">
      <c r="A1550" s="8" t="s">
        <v>49</v>
      </c>
      <c r="B1550" s="9" t="s">
        <v>50</v>
      </c>
      <c r="C1550" s="16">
        <v>30.2</v>
      </c>
      <c r="D1550" s="16">
        <f>E1549</f>
        <v>631041.60000000009</v>
      </c>
      <c r="E1550" s="19">
        <f>ROUND(C1550*D1550/100,2)</f>
        <v>190574.56</v>
      </c>
    </row>
    <row r="1551" spans="1:6" ht="11.25" customHeight="1" x14ac:dyDescent="0.2">
      <c r="A1551" s="8" t="s">
        <v>51</v>
      </c>
      <c r="B1551" s="9" t="s">
        <v>52</v>
      </c>
      <c r="C1551" s="16"/>
      <c r="D1551" s="16"/>
      <c r="E1551" s="19">
        <f>E1549*0.5</f>
        <v>315520.80000000005</v>
      </c>
    </row>
    <row r="1552" spans="1:6" ht="11.25" customHeight="1" x14ac:dyDescent="0.2">
      <c r="A1552" s="8" t="s">
        <v>53</v>
      </c>
      <c r="B1552" s="9" t="s">
        <v>54</v>
      </c>
      <c r="C1552" s="16"/>
      <c r="D1552" s="16"/>
      <c r="E1552" s="19">
        <f>E1549*0.1</f>
        <v>63104.160000000011</v>
      </c>
    </row>
    <row r="1553" spans="1:5" ht="20.100000000000001" customHeight="1" x14ac:dyDescent="0.2">
      <c r="A1553" s="5">
        <v>2</v>
      </c>
      <c r="B1553" s="6" t="s">
        <v>57</v>
      </c>
      <c r="C1553" s="16"/>
      <c r="D1553" s="16"/>
      <c r="E1553" s="17">
        <f>E1554+E1556+E1557+E1558+E1559+E1560+E1555</f>
        <v>1141572.27</v>
      </c>
    </row>
    <row r="1554" spans="1:5" ht="11.25" customHeight="1" x14ac:dyDescent="0.2">
      <c r="A1554" s="35" t="s">
        <v>58</v>
      </c>
      <c r="B1554" s="9" t="s">
        <v>204</v>
      </c>
      <c r="C1554" s="16">
        <v>997.6</v>
      </c>
      <c r="D1554" s="16">
        <f>E1554/C1554</f>
        <v>177.96999799518844</v>
      </c>
      <c r="E1554" s="19">
        <v>177542.87</v>
      </c>
    </row>
    <row r="1555" spans="1:5" ht="11.25" customHeight="1" x14ac:dyDescent="0.2">
      <c r="A1555" s="35" t="s">
        <v>60</v>
      </c>
      <c r="B1555" s="9" t="s">
        <v>195</v>
      </c>
      <c r="C1555" s="16">
        <v>997.6</v>
      </c>
      <c r="D1555" s="16">
        <f>E1555/C1555</f>
        <v>219.63343023255814</v>
      </c>
      <c r="E1555" s="19">
        <v>219106.31</v>
      </c>
    </row>
    <row r="1556" spans="1:5" ht="11.25" customHeight="1" x14ac:dyDescent="0.2">
      <c r="A1556" s="35" t="s">
        <v>62</v>
      </c>
      <c r="B1556" s="9" t="s">
        <v>196</v>
      </c>
      <c r="C1556" s="16">
        <v>316.48</v>
      </c>
      <c r="D1556" s="16">
        <f>E1556/C1556</f>
        <v>848.40125758341765</v>
      </c>
      <c r="E1556" s="19">
        <v>268502.03000000003</v>
      </c>
    </row>
    <row r="1557" spans="1:5" ht="11.25" customHeight="1" x14ac:dyDescent="0.2">
      <c r="A1557" s="35" t="s">
        <v>64</v>
      </c>
      <c r="B1557" s="9" t="s">
        <v>63</v>
      </c>
      <c r="C1557" s="16">
        <f>E1557/D1557</f>
        <v>54528.325411334554</v>
      </c>
      <c r="D1557" s="16">
        <v>5.47</v>
      </c>
      <c r="E1557" s="19">
        <f>273500-2964.32+27734.26</f>
        <v>298269.94</v>
      </c>
    </row>
    <row r="1558" spans="1:5" ht="11.25" customHeight="1" x14ac:dyDescent="0.2">
      <c r="A1558" s="35" t="s">
        <v>66</v>
      </c>
      <c r="B1558" s="9" t="s">
        <v>65</v>
      </c>
      <c r="C1558" s="16">
        <f>E1558/D1558</f>
        <v>1995.4204962560564</v>
      </c>
      <c r="D1558" s="16">
        <v>68.11</v>
      </c>
      <c r="E1558" s="19">
        <v>135908.09</v>
      </c>
    </row>
    <row r="1559" spans="1:5" ht="11.25" customHeight="1" x14ac:dyDescent="0.2">
      <c r="A1559" s="35" t="s">
        <v>68</v>
      </c>
      <c r="B1559" s="9" t="s">
        <v>69</v>
      </c>
      <c r="C1559" s="16">
        <v>1980.9</v>
      </c>
      <c r="D1559" s="16">
        <f>E1559/C1559</f>
        <v>3.3499974758947952</v>
      </c>
      <c r="E1559" s="19">
        <v>6636.01</v>
      </c>
    </row>
    <row r="1560" spans="1:5" ht="11.25" customHeight="1" x14ac:dyDescent="0.2">
      <c r="A1560" s="35" t="s">
        <v>70</v>
      </c>
      <c r="B1560" s="9" t="s">
        <v>71</v>
      </c>
      <c r="C1560" s="16">
        <v>189.36</v>
      </c>
      <c r="D1560" s="16">
        <f>E1560/C1560</f>
        <v>188.03876214617657</v>
      </c>
      <c r="E1560" s="19">
        <v>35607.019999999997</v>
      </c>
    </row>
    <row r="1561" spans="1:5" ht="20.100000000000001" customHeight="1" x14ac:dyDescent="0.2">
      <c r="A1561" s="5">
        <v>3</v>
      </c>
      <c r="B1561" s="6" t="s">
        <v>72</v>
      </c>
      <c r="C1561" s="16"/>
      <c r="D1561" s="16"/>
      <c r="E1561" s="17">
        <f>E1562+E1563+E1564+E1565+E1566+E1567+E1568+E1569+E1570+E1572+E1571</f>
        <v>583543.80564119946</v>
      </c>
    </row>
    <row r="1562" spans="1:5" ht="11.25" customHeight="1" x14ac:dyDescent="0.2">
      <c r="A1562" s="8" t="s">
        <v>73</v>
      </c>
      <c r="B1562" s="9" t="s">
        <v>74</v>
      </c>
      <c r="C1562" s="34">
        <v>8</v>
      </c>
      <c r="D1562" s="16">
        <f>E1562/C1562/12</f>
        <v>3192.7319791666669</v>
      </c>
      <c r="E1562" s="19">
        <v>306502.27</v>
      </c>
    </row>
    <row r="1563" spans="1:5" ht="11.25" customHeight="1" x14ac:dyDescent="0.2">
      <c r="A1563" s="8" t="s">
        <v>75</v>
      </c>
      <c r="B1563" s="9" t="s">
        <v>76</v>
      </c>
      <c r="C1563" s="16"/>
      <c r="D1563" s="16"/>
      <c r="E1563" s="19">
        <v>0</v>
      </c>
    </row>
    <row r="1564" spans="1:5" ht="11.25" customHeight="1" x14ac:dyDescent="0.2">
      <c r="A1564" s="8" t="s">
        <v>77</v>
      </c>
      <c r="B1564" s="9" t="s">
        <v>78</v>
      </c>
      <c r="C1564" s="16"/>
      <c r="D1564" s="16"/>
      <c r="E1564" s="19">
        <v>0</v>
      </c>
    </row>
    <row r="1565" spans="1:5" ht="11.25" customHeight="1" x14ac:dyDescent="0.2">
      <c r="A1565" s="8" t="s">
        <v>79</v>
      </c>
      <c r="B1565" s="9" t="s">
        <v>80</v>
      </c>
      <c r="C1565" s="16">
        <v>12545.4</v>
      </c>
      <c r="D1565" s="16">
        <f>E1565/C1565</f>
        <v>4.1644921644586859</v>
      </c>
      <c r="E1565" s="19">
        <v>52245.22</v>
      </c>
    </row>
    <row r="1566" spans="1:5" ht="11.25" customHeight="1" x14ac:dyDescent="0.2">
      <c r="A1566" s="8" t="s">
        <v>81</v>
      </c>
      <c r="B1566" s="9" t="s">
        <v>82</v>
      </c>
      <c r="C1566" s="34">
        <v>564</v>
      </c>
      <c r="D1566" s="16">
        <f>E1566/C1566</f>
        <v>71.816631205673758</v>
      </c>
      <c r="E1566" s="19">
        <v>40504.58</v>
      </c>
    </row>
    <row r="1567" spans="1:5" ht="11.25" customHeight="1" x14ac:dyDescent="0.2">
      <c r="A1567" s="8" t="s">
        <v>83</v>
      </c>
      <c r="B1567" s="9" t="s">
        <v>194</v>
      </c>
      <c r="C1567" s="34">
        <v>282</v>
      </c>
      <c r="D1567" s="16">
        <f>E1567/C1567</f>
        <v>85.613510638297868</v>
      </c>
      <c r="E1567" s="19">
        <v>24143.01</v>
      </c>
    </row>
    <row r="1568" spans="1:5" ht="11.25" customHeight="1" x14ac:dyDescent="0.2">
      <c r="A1568" s="8" t="s">
        <v>85</v>
      </c>
      <c r="B1568" s="9" t="s">
        <v>86</v>
      </c>
      <c r="C1568" s="34"/>
      <c r="D1568" s="16"/>
      <c r="E1568" s="19">
        <v>0</v>
      </c>
    </row>
    <row r="1569" spans="1:6" ht="11.25" customHeight="1" x14ac:dyDescent="0.2">
      <c r="A1569" s="8" t="s">
        <v>87</v>
      </c>
      <c r="B1569" s="9" t="s">
        <v>88</v>
      </c>
      <c r="C1569" s="34">
        <v>282</v>
      </c>
      <c r="D1569" s="16">
        <f>E1569/C1569</f>
        <v>493.88741134751774</v>
      </c>
      <c r="E1569" s="19">
        <v>139276.25</v>
      </c>
    </row>
    <row r="1570" spans="1:6" ht="11.25" customHeight="1" x14ac:dyDescent="0.2">
      <c r="A1570" s="8" t="s">
        <v>89</v>
      </c>
      <c r="B1570" s="9" t="s">
        <v>90</v>
      </c>
      <c r="C1570" s="16"/>
      <c r="D1570" s="16"/>
      <c r="E1570" s="19">
        <v>0</v>
      </c>
    </row>
    <row r="1571" spans="1:6" ht="11.25" customHeight="1" x14ac:dyDescent="0.2">
      <c r="A1571" s="8" t="s">
        <v>91</v>
      </c>
      <c r="B1571" s="9" t="s">
        <v>202</v>
      </c>
      <c r="C1571" s="34">
        <v>8</v>
      </c>
      <c r="D1571" s="16">
        <f>E1571/C1571</f>
        <v>2609.0594551499216</v>
      </c>
      <c r="E1571" s="19">
        <f>1773.04*2*1.2+2826.16*6*1.2*0.81663515754</f>
        <v>20872.475641199373</v>
      </c>
    </row>
    <row r="1572" spans="1:6" ht="11.25" customHeight="1" x14ac:dyDescent="0.2">
      <c r="A1572" s="8" t="s">
        <v>203</v>
      </c>
      <c r="B1572" s="9" t="s">
        <v>92</v>
      </c>
      <c r="C1572" s="16"/>
      <c r="D1572" s="16"/>
      <c r="E1572" s="19">
        <v>0</v>
      </c>
    </row>
    <row r="1573" spans="1:6" ht="15" customHeight="1" x14ac:dyDescent="0.2">
      <c r="A1573" s="5">
        <v>4</v>
      </c>
      <c r="B1573" s="6" t="s">
        <v>193</v>
      </c>
      <c r="C1573" s="16"/>
      <c r="D1573" s="16"/>
      <c r="E1573" s="17">
        <f>ROUND(F1574/1.1*0.1,2)</f>
        <v>397438.27</v>
      </c>
    </row>
    <row r="1574" spans="1:6" ht="18.75" customHeight="1" x14ac:dyDescent="0.2">
      <c r="A1574" s="10"/>
      <c r="B1574" s="11" t="s">
        <v>94</v>
      </c>
      <c r="C1574" s="21"/>
      <c r="D1574" s="21"/>
      <c r="E1574" s="17">
        <f>E1540+E1553+E1561+E1573</f>
        <v>4371820.9896411998</v>
      </c>
      <c r="F1574" s="25">
        <f>E1527*29.04*12</f>
        <v>4371820.9919999996</v>
      </c>
    </row>
    <row r="1575" spans="1:6" ht="15" customHeight="1" x14ac:dyDescent="0.25">
      <c r="A1575" s="10"/>
      <c r="B1575" s="11" t="s">
        <v>199</v>
      </c>
      <c r="C1575" s="21"/>
      <c r="D1575" s="21"/>
      <c r="E1575" s="22">
        <v>29.04</v>
      </c>
    </row>
    <row r="1576" spans="1:6" ht="10.95" customHeight="1" x14ac:dyDescent="0.2"/>
    <row r="1577" spans="1:6" ht="10.95" customHeight="1" x14ac:dyDescent="0.2"/>
    <row r="1578" spans="1:6" ht="10.95" customHeight="1" x14ac:dyDescent="0.2"/>
    <row r="1579" spans="1:6" ht="15" customHeight="1" x14ac:dyDescent="0.25">
      <c r="B1579" s="12" t="s">
        <v>96</v>
      </c>
    </row>
    <row r="1580" spans="1:6" ht="12" customHeight="1" x14ac:dyDescent="0.2"/>
    <row r="1581" spans="1:6" ht="13.2" customHeight="1" x14ac:dyDescent="0.25">
      <c r="B1581" s="3" t="s">
        <v>97</v>
      </c>
    </row>
    <row r="1582" spans="1:6" ht="7.95" customHeight="1" x14ac:dyDescent="0.2"/>
    <row r="1583" spans="1:6" ht="12" customHeight="1" x14ac:dyDescent="0.25">
      <c r="B1583" s="41" t="s">
        <v>100</v>
      </c>
      <c r="C1583" s="41"/>
      <c r="D1583" s="41"/>
      <c r="E1583" s="41"/>
    </row>
    <row r="1584" spans="1:6" ht="10.95" customHeight="1" x14ac:dyDescent="0.2"/>
    <row r="1585" spans="1:5" ht="10.95" customHeight="1" x14ac:dyDescent="0.2"/>
    <row r="1586" spans="1:5" ht="10.95" customHeight="1" x14ac:dyDescent="0.2"/>
    <row r="1587" spans="1:5" ht="16.2" customHeight="1" x14ac:dyDescent="0.2">
      <c r="A1587" s="39" t="s">
        <v>0</v>
      </c>
      <c r="B1587" s="39"/>
      <c r="C1587" s="39"/>
      <c r="D1587" s="39"/>
      <c r="E1587" s="39"/>
    </row>
    <row r="1588" spans="1:5" ht="10.95" customHeight="1" x14ac:dyDescent="0.2">
      <c r="A1588" s="40" t="s">
        <v>1</v>
      </c>
      <c r="B1588" s="40"/>
      <c r="C1588" s="40"/>
      <c r="D1588" s="40"/>
      <c r="E1588" s="40"/>
    </row>
    <row r="1589" spans="1:5" ht="13.2" customHeight="1" x14ac:dyDescent="0.2">
      <c r="A1589" s="40" t="s">
        <v>197</v>
      </c>
      <c r="B1589" s="40"/>
      <c r="C1589" s="40"/>
      <c r="D1589" s="40"/>
      <c r="E1589" s="40"/>
    </row>
    <row r="1590" spans="1:5" ht="10.95" customHeight="1" x14ac:dyDescent="0.2"/>
    <row r="1591" spans="1:5" ht="10.95" customHeight="1" x14ac:dyDescent="0.2">
      <c r="C1591" s="42" t="s">
        <v>3</v>
      </c>
      <c r="D1591" s="42"/>
      <c r="E1591" s="42"/>
    </row>
    <row r="1592" spans="1:5" ht="12" customHeight="1" x14ac:dyDescent="0.2">
      <c r="D1592" s="26" t="s">
        <v>4</v>
      </c>
      <c r="E1592" s="24">
        <v>14312.5</v>
      </c>
    </row>
    <row r="1593" spans="1:5" ht="12" customHeight="1" x14ac:dyDescent="0.2">
      <c r="D1593" s="26" t="s">
        <v>5</v>
      </c>
      <c r="E1593" s="23">
        <v>123.7</v>
      </c>
    </row>
    <row r="1594" spans="1:5" ht="12" customHeight="1" x14ac:dyDescent="0.2">
      <c r="D1594" s="26" t="s">
        <v>6</v>
      </c>
      <c r="E1594" s="30">
        <v>6</v>
      </c>
    </row>
    <row r="1595" spans="1:5" ht="12" customHeight="1" x14ac:dyDescent="0.2">
      <c r="D1595" s="26" t="s">
        <v>7</v>
      </c>
      <c r="E1595" s="30">
        <v>12</v>
      </c>
    </row>
    <row r="1596" spans="1:5" ht="12" customHeight="1" x14ac:dyDescent="0.2">
      <c r="D1596" s="26" t="s">
        <v>8</v>
      </c>
      <c r="E1596" s="30">
        <v>284</v>
      </c>
    </row>
    <row r="1597" spans="1:5" ht="12" customHeight="1" x14ac:dyDescent="0.2">
      <c r="D1597" s="26" t="s">
        <v>9</v>
      </c>
      <c r="E1597" s="30">
        <v>647</v>
      </c>
    </row>
    <row r="1598" spans="1:5" ht="12" customHeight="1" x14ac:dyDescent="0.2">
      <c r="D1598" s="26" t="s">
        <v>10</v>
      </c>
      <c r="E1598" s="30">
        <v>12</v>
      </c>
    </row>
    <row r="1599" spans="1:5" ht="12" customHeight="1" x14ac:dyDescent="0.2">
      <c r="D1599" s="26" t="s">
        <v>11</v>
      </c>
      <c r="E1599" s="30">
        <v>6</v>
      </c>
    </row>
    <row r="1600" spans="1:5" ht="12" customHeight="1" x14ac:dyDescent="0.2">
      <c r="D1600" s="26" t="s">
        <v>12</v>
      </c>
      <c r="E1600" s="30">
        <v>0</v>
      </c>
    </row>
    <row r="1601" spans="1:6" ht="12" customHeight="1" x14ac:dyDescent="0.2">
      <c r="D1601" s="26" t="s">
        <v>13</v>
      </c>
      <c r="E1601" s="30">
        <v>1696</v>
      </c>
    </row>
    <row r="1602" spans="1:6" ht="12" customHeight="1" x14ac:dyDescent="0.25">
      <c r="A1602" s="2" t="s">
        <v>14</v>
      </c>
      <c r="B1602" s="3" t="s">
        <v>145</v>
      </c>
    </row>
    <row r="1603" spans="1:6" ht="10.95" customHeight="1" x14ac:dyDescent="0.2"/>
    <row r="1604" spans="1:6" ht="45" customHeight="1" x14ac:dyDescent="0.2">
      <c r="A1604" s="4" t="s">
        <v>15</v>
      </c>
      <c r="B1604" s="4" t="s">
        <v>131</v>
      </c>
      <c r="C1604" s="27" t="s">
        <v>17</v>
      </c>
      <c r="D1604" s="27" t="s">
        <v>103</v>
      </c>
      <c r="E1604" s="27" t="s">
        <v>19</v>
      </c>
    </row>
    <row r="1605" spans="1:6" ht="31.5" customHeight="1" x14ac:dyDescent="0.2">
      <c r="A1605" s="5">
        <v>1</v>
      </c>
      <c r="B1605" s="6" t="s">
        <v>190</v>
      </c>
      <c r="C1605" s="16"/>
      <c r="D1605" s="16"/>
      <c r="E1605" s="17">
        <f>E1606+E1613</f>
        <v>2538558.6520000002</v>
      </c>
    </row>
    <row r="1606" spans="1:6" ht="15" customHeight="1" x14ac:dyDescent="0.2">
      <c r="A1606" s="7" t="s">
        <v>21</v>
      </c>
      <c r="B1606" s="6" t="s">
        <v>132</v>
      </c>
      <c r="C1606" s="16"/>
      <c r="D1606" s="16"/>
      <c r="E1606" s="17">
        <f>SUM(E1607:E1612)</f>
        <v>966872.9219999999</v>
      </c>
    </row>
    <row r="1607" spans="1:6" ht="11.25" customHeight="1" x14ac:dyDescent="0.2">
      <c r="A1607" s="15" t="s">
        <v>23</v>
      </c>
      <c r="B1607" s="9" t="s">
        <v>34</v>
      </c>
      <c r="C1607" s="16">
        <v>1.57</v>
      </c>
      <c r="D1607" s="16">
        <v>18781</v>
      </c>
      <c r="E1607" s="19">
        <f>ROUND(C1607*D1607,2)*12</f>
        <v>353834.04</v>
      </c>
      <c r="F1607" s="20"/>
    </row>
    <row r="1608" spans="1:6" ht="11.25" customHeight="1" x14ac:dyDescent="0.2">
      <c r="A1608" s="8" t="s">
        <v>31</v>
      </c>
      <c r="B1608" s="9" t="s">
        <v>36</v>
      </c>
      <c r="C1608" s="16">
        <v>1.49</v>
      </c>
      <c r="D1608" s="16">
        <v>18781</v>
      </c>
      <c r="E1608" s="19">
        <f>ROUND(C1608*D1608,2)*12</f>
        <v>335804.27999999997</v>
      </c>
    </row>
    <row r="1609" spans="1:6" ht="11.25" customHeight="1" x14ac:dyDescent="0.2">
      <c r="A1609" s="8" t="s">
        <v>121</v>
      </c>
      <c r="B1609" s="9" t="s">
        <v>38</v>
      </c>
      <c r="C1609" s="16">
        <v>30.2</v>
      </c>
      <c r="D1609" s="16">
        <f>E1607</f>
        <v>353834.04</v>
      </c>
      <c r="E1609" s="19">
        <f>ROUND(C1609*D1609/100,2)</f>
        <v>106857.88</v>
      </c>
    </row>
    <row r="1610" spans="1:6" ht="11.25" customHeight="1" x14ac:dyDescent="0.2">
      <c r="A1610" s="8" t="s">
        <v>186</v>
      </c>
      <c r="B1610" s="9" t="s">
        <v>40</v>
      </c>
      <c r="C1610" s="16">
        <v>30.2</v>
      </c>
      <c r="D1610" s="16">
        <f>E1608</f>
        <v>335804.27999999997</v>
      </c>
      <c r="E1610" s="19">
        <f>ROUND(C1610*D1610/100,2)</f>
        <v>101412.89</v>
      </c>
    </row>
    <row r="1611" spans="1:6" ht="11.25" customHeight="1" x14ac:dyDescent="0.2">
      <c r="A1611" s="8" t="s">
        <v>187</v>
      </c>
      <c r="B1611" s="9" t="s">
        <v>42</v>
      </c>
      <c r="C1611" s="16"/>
      <c r="D1611" s="16"/>
      <c r="E1611" s="19">
        <f>E1607*0.1</f>
        <v>35383.404000000002</v>
      </c>
    </row>
    <row r="1612" spans="1:6" ht="11.25" customHeight="1" x14ac:dyDescent="0.2">
      <c r="A1612" s="8" t="s">
        <v>188</v>
      </c>
      <c r="B1612" s="9" t="s">
        <v>44</v>
      </c>
      <c r="C1612" s="16"/>
      <c r="D1612" s="16"/>
      <c r="E1612" s="19">
        <f>E1608*0.1</f>
        <v>33580.428</v>
      </c>
    </row>
    <row r="1613" spans="1:6" ht="15" customHeight="1" x14ac:dyDescent="0.2">
      <c r="A1613" s="7" t="s">
        <v>45</v>
      </c>
      <c r="B1613" s="6" t="s">
        <v>189</v>
      </c>
      <c r="C1613" s="16"/>
      <c r="D1613" s="16"/>
      <c r="E1613" s="17">
        <f>E1614+E1615+E1616+E1617</f>
        <v>1571685.7300000002</v>
      </c>
    </row>
    <row r="1614" spans="1:6" ht="11.25" customHeight="1" x14ac:dyDescent="0.2">
      <c r="A1614" s="8" t="s">
        <v>47</v>
      </c>
      <c r="B1614" s="9" t="s">
        <v>48</v>
      </c>
      <c r="C1614" s="16">
        <v>3.87</v>
      </c>
      <c r="D1614" s="16">
        <v>18781</v>
      </c>
      <c r="E1614" s="19">
        <f>ROUND(C1614*D1614,2)*12</f>
        <v>872189.64</v>
      </c>
      <c r="F1614" s="20"/>
    </row>
    <row r="1615" spans="1:6" ht="11.25" customHeight="1" x14ac:dyDescent="0.2">
      <c r="A1615" s="8" t="s">
        <v>49</v>
      </c>
      <c r="B1615" s="9" t="s">
        <v>50</v>
      </c>
      <c r="C1615" s="16">
        <v>30.2</v>
      </c>
      <c r="D1615" s="16">
        <f>E1614</f>
        <v>872189.64</v>
      </c>
      <c r="E1615" s="19">
        <f>ROUND(C1615*D1615/100,2)</f>
        <v>263401.27</v>
      </c>
    </row>
    <row r="1616" spans="1:6" ht="11.25" customHeight="1" x14ac:dyDescent="0.2">
      <c r="A1616" s="8" t="s">
        <v>51</v>
      </c>
      <c r="B1616" s="9" t="s">
        <v>52</v>
      </c>
      <c r="C1616" s="16"/>
      <c r="D1616" s="16"/>
      <c r="E1616" s="19">
        <f>E1614*0.4</f>
        <v>348875.85600000003</v>
      </c>
    </row>
    <row r="1617" spans="1:5" ht="11.25" customHeight="1" x14ac:dyDescent="0.2">
      <c r="A1617" s="8" t="s">
        <v>53</v>
      </c>
      <c r="B1617" s="9" t="s">
        <v>54</v>
      </c>
      <c r="C1617" s="16"/>
      <c r="D1617" s="16"/>
      <c r="E1617" s="19">
        <f>E1614*0.1</f>
        <v>87218.964000000007</v>
      </c>
    </row>
    <row r="1618" spans="1:5" ht="20.100000000000001" customHeight="1" x14ac:dyDescent="0.2">
      <c r="A1618" s="5">
        <v>2</v>
      </c>
      <c r="B1618" s="6" t="s">
        <v>57</v>
      </c>
      <c r="C1618" s="16"/>
      <c r="D1618" s="16"/>
      <c r="E1618" s="17">
        <f>E1619+E1621+E1622+E1623+E1624+E1625+E1620</f>
        <v>1065076.1499999999</v>
      </c>
    </row>
    <row r="1619" spans="1:5" ht="11.25" customHeight="1" x14ac:dyDescent="0.2">
      <c r="A1619" s="35" t="s">
        <v>58</v>
      </c>
      <c r="B1619" s="9" t="s">
        <v>204</v>
      </c>
      <c r="C1619" s="16">
        <v>938.15</v>
      </c>
      <c r="D1619" s="16">
        <f>E1619/C1619</f>
        <v>177.97000479667432</v>
      </c>
      <c r="E1619" s="19">
        <v>166962.56</v>
      </c>
    </row>
    <row r="1620" spans="1:5" ht="11.25" customHeight="1" x14ac:dyDescent="0.2">
      <c r="A1620" s="35" t="s">
        <v>60</v>
      </c>
      <c r="B1620" s="9" t="s">
        <v>195</v>
      </c>
      <c r="C1620" s="16">
        <v>938.15</v>
      </c>
      <c r="D1620" s="16">
        <f>E1620/C1620</f>
        <v>219.63343814954965</v>
      </c>
      <c r="E1620" s="19">
        <v>206049.11</v>
      </c>
    </row>
    <row r="1621" spans="1:5" ht="11.25" customHeight="1" x14ac:dyDescent="0.2">
      <c r="A1621" s="35" t="s">
        <v>62</v>
      </c>
      <c r="B1621" s="9" t="s">
        <v>196</v>
      </c>
      <c r="C1621" s="16">
        <v>297.62</v>
      </c>
      <c r="D1621" s="16">
        <f>E1621/C1621</f>
        <v>848.40124991600021</v>
      </c>
      <c r="E1621" s="19">
        <v>252501.18</v>
      </c>
    </row>
    <row r="1622" spans="1:5" ht="11.25" customHeight="1" x14ac:dyDescent="0.2">
      <c r="A1622" s="35" t="s">
        <v>64</v>
      </c>
      <c r="B1622" s="9" t="s">
        <v>63</v>
      </c>
      <c r="C1622" s="16">
        <f>E1622/D1622</f>
        <v>54467.389396709325</v>
      </c>
      <c r="D1622" s="16">
        <v>5.47</v>
      </c>
      <c r="E1622" s="19">
        <f>300850-2913.38</f>
        <v>297936.62</v>
      </c>
    </row>
    <row r="1623" spans="1:5" ht="11.25" customHeight="1" x14ac:dyDescent="0.2">
      <c r="A1623" s="35" t="s">
        <v>66</v>
      </c>
      <c r="B1623" s="9" t="s">
        <v>65</v>
      </c>
      <c r="C1623" s="16">
        <f>E1623/D1623</f>
        <v>1997.8621347819701</v>
      </c>
      <c r="D1623" s="16">
        <v>68.11</v>
      </c>
      <c r="E1623" s="19">
        <f>121264.17+14810.22</f>
        <v>136074.38999999998</v>
      </c>
    </row>
    <row r="1624" spans="1:5" ht="11.25" customHeight="1" x14ac:dyDescent="0.2">
      <c r="A1624" s="35" t="s">
        <v>68</v>
      </c>
      <c r="B1624" s="9" t="s">
        <v>69</v>
      </c>
      <c r="C1624" s="16">
        <v>1657.4</v>
      </c>
      <c r="D1624" s="16">
        <f>E1624/C1624</f>
        <v>3.3499999999999996</v>
      </c>
      <c r="E1624" s="19">
        <v>5552.29</v>
      </c>
    </row>
    <row r="1625" spans="1:5" ht="11.25" customHeight="1" x14ac:dyDescent="0.2">
      <c r="A1625" s="35" t="s">
        <v>70</v>
      </c>
      <c r="B1625" s="9" t="s">
        <v>71</v>
      </c>
      <c r="C1625" s="16"/>
      <c r="D1625" s="16"/>
      <c r="E1625" s="19">
        <v>0</v>
      </c>
    </row>
    <row r="1626" spans="1:5" ht="20.100000000000001" customHeight="1" x14ac:dyDescent="0.2">
      <c r="A1626" s="5">
        <v>3</v>
      </c>
      <c r="B1626" s="6" t="s">
        <v>72</v>
      </c>
      <c r="C1626" s="16"/>
      <c r="D1626" s="16"/>
      <c r="E1626" s="17">
        <f>E1627+E1628+E1629+E1630+E1631+E1632+E1633+E1634+E1635+E1637+E1636</f>
        <v>930565.19540199894</v>
      </c>
    </row>
    <row r="1627" spans="1:5" ht="11.25" customHeight="1" x14ac:dyDescent="0.2">
      <c r="A1627" s="8" t="s">
        <v>73</v>
      </c>
      <c r="B1627" s="9" t="s">
        <v>74</v>
      </c>
      <c r="C1627" s="34">
        <v>12</v>
      </c>
      <c r="D1627" s="16">
        <f>E1627/C1627/12</f>
        <v>3799.9441666666662</v>
      </c>
      <c r="E1627" s="19">
        <v>547191.96</v>
      </c>
    </row>
    <row r="1628" spans="1:5" ht="11.25" customHeight="1" x14ac:dyDescent="0.2">
      <c r="A1628" s="8" t="s">
        <v>75</v>
      </c>
      <c r="B1628" s="9" t="s">
        <v>76</v>
      </c>
      <c r="C1628" s="34"/>
      <c r="D1628" s="16"/>
      <c r="E1628" s="19">
        <v>0</v>
      </c>
    </row>
    <row r="1629" spans="1:5" ht="11.25" customHeight="1" x14ac:dyDescent="0.2">
      <c r="A1629" s="8" t="s">
        <v>77</v>
      </c>
      <c r="B1629" s="9" t="s">
        <v>78</v>
      </c>
      <c r="C1629" s="34">
        <v>6</v>
      </c>
      <c r="D1629" s="16">
        <f t="shared" ref="D1629:D1634" si="1">E1629/C1629</f>
        <v>11145.993333333334</v>
      </c>
      <c r="E1629" s="19">
        <v>66875.960000000006</v>
      </c>
    </row>
    <row r="1630" spans="1:5" ht="11.25" customHeight="1" x14ac:dyDescent="0.2">
      <c r="A1630" s="8" t="s">
        <v>79</v>
      </c>
      <c r="B1630" s="9" t="s">
        <v>80</v>
      </c>
      <c r="C1630" s="16">
        <v>14312.5</v>
      </c>
      <c r="D1630" s="16">
        <f t="shared" si="1"/>
        <v>4.1859374672489089</v>
      </c>
      <c r="E1630" s="19">
        <v>59911.23</v>
      </c>
    </row>
    <row r="1631" spans="1:5" ht="11.25" customHeight="1" x14ac:dyDescent="0.2">
      <c r="A1631" s="8" t="s">
        <v>81</v>
      </c>
      <c r="B1631" s="9" t="s">
        <v>82</v>
      </c>
      <c r="C1631" s="34">
        <v>568</v>
      </c>
      <c r="D1631" s="16">
        <f t="shared" si="1"/>
        <v>71.112552816901413</v>
      </c>
      <c r="E1631" s="19">
        <v>40391.93</v>
      </c>
    </row>
    <row r="1632" spans="1:5" ht="11.25" customHeight="1" x14ac:dyDescent="0.2">
      <c r="A1632" s="8" t="s">
        <v>83</v>
      </c>
      <c r="B1632" s="9" t="s">
        <v>194</v>
      </c>
      <c r="C1632" s="34">
        <v>284</v>
      </c>
      <c r="D1632" s="16">
        <f t="shared" si="1"/>
        <v>86.805492957746466</v>
      </c>
      <c r="E1632" s="19">
        <v>24652.76</v>
      </c>
    </row>
    <row r="1633" spans="1:6" ht="11.25" customHeight="1" x14ac:dyDescent="0.2">
      <c r="A1633" s="8" t="s">
        <v>85</v>
      </c>
      <c r="B1633" s="9" t="s">
        <v>86</v>
      </c>
      <c r="C1633" s="16">
        <v>0.34</v>
      </c>
      <c r="D1633" s="16">
        <f t="shared" si="1"/>
        <v>19206.264705882353</v>
      </c>
      <c r="E1633" s="19">
        <v>6530.13</v>
      </c>
    </row>
    <row r="1634" spans="1:6" ht="11.25" customHeight="1" x14ac:dyDescent="0.2">
      <c r="A1634" s="8" t="s">
        <v>87</v>
      </c>
      <c r="B1634" s="9" t="s">
        <v>88</v>
      </c>
      <c r="C1634" s="34">
        <v>284</v>
      </c>
      <c r="D1634" s="16">
        <f t="shared" si="1"/>
        <v>538.94588028169017</v>
      </c>
      <c r="E1634" s="19">
        <v>153060.63</v>
      </c>
    </row>
    <row r="1635" spans="1:6" ht="11.25" customHeight="1" x14ac:dyDescent="0.2">
      <c r="A1635" s="8" t="s">
        <v>89</v>
      </c>
      <c r="B1635" s="9" t="s">
        <v>90</v>
      </c>
      <c r="C1635" s="16"/>
      <c r="D1635" s="16"/>
      <c r="E1635" s="19">
        <v>0</v>
      </c>
    </row>
    <row r="1636" spans="1:6" ht="11.25" customHeight="1" x14ac:dyDescent="0.2">
      <c r="A1636" s="8" t="s">
        <v>91</v>
      </c>
      <c r="B1636" s="9" t="s">
        <v>202</v>
      </c>
      <c r="C1636" s="34">
        <v>12</v>
      </c>
      <c r="D1636" s="16">
        <f>E1636/C1636</f>
        <v>2662.5496168332461</v>
      </c>
      <c r="E1636" s="19">
        <f>1773.04*2*1.2+2826.16*10*1.2*0.81663515754</f>
        <v>31950.595401998955</v>
      </c>
    </row>
    <row r="1637" spans="1:6" ht="11.25" customHeight="1" x14ac:dyDescent="0.2">
      <c r="A1637" s="8" t="s">
        <v>203</v>
      </c>
      <c r="B1637" s="9" t="s">
        <v>92</v>
      </c>
      <c r="C1637" s="16"/>
      <c r="D1637" s="16"/>
      <c r="E1637" s="19">
        <v>0</v>
      </c>
    </row>
    <row r="1638" spans="1:6" ht="15" customHeight="1" x14ac:dyDescent="0.2">
      <c r="A1638" s="5">
        <v>4</v>
      </c>
      <c r="B1638" s="6" t="s">
        <v>193</v>
      </c>
      <c r="C1638" s="16"/>
      <c r="D1638" s="16"/>
      <c r="E1638" s="17">
        <f>F1639/1.1*0.1</f>
        <v>453420</v>
      </c>
    </row>
    <row r="1639" spans="1:6" ht="18.75" customHeight="1" x14ac:dyDescent="0.2">
      <c r="A1639" s="10"/>
      <c r="B1639" s="11" t="s">
        <v>94</v>
      </c>
      <c r="C1639" s="21"/>
      <c r="D1639" s="21"/>
      <c r="E1639" s="17">
        <f>E1605+E1618+E1626+E1638</f>
        <v>4987619.9974019993</v>
      </c>
      <c r="F1639" s="25">
        <f>E1592*29.04*12</f>
        <v>4987620</v>
      </c>
    </row>
    <row r="1640" spans="1:6" ht="15" customHeight="1" x14ac:dyDescent="0.25">
      <c r="A1640" s="10"/>
      <c r="B1640" s="11" t="s">
        <v>199</v>
      </c>
      <c r="C1640" s="21"/>
      <c r="D1640" s="21"/>
      <c r="E1640" s="22">
        <v>29.04</v>
      </c>
    </row>
    <row r="1641" spans="1:6" ht="10.95" customHeight="1" x14ac:dyDescent="0.2"/>
    <row r="1642" spans="1:6" ht="10.95" customHeight="1" x14ac:dyDescent="0.2"/>
    <row r="1643" spans="1:6" ht="10.95" customHeight="1" x14ac:dyDescent="0.2"/>
    <row r="1644" spans="1:6" ht="15" customHeight="1" x14ac:dyDescent="0.25">
      <c r="B1644" s="12" t="s">
        <v>96</v>
      </c>
    </row>
    <row r="1645" spans="1:6" ht="12" customHeight="1" x14ac:dyDescent="0.2"/>
    <row r="1646" spans="1:6" ht="13.2" customHeight="1" x14ac:dyDescent="0.25">
      <c r="B1646" s="3" t="s">
        <v>97</v>
      </c>
    </row>
    <row r="1647" spans="1:6" ht="7.95" customHeight="1" x14ac:dyDescent="0.2"/>
    <row r="1648" spans="1:6" ht="12" customHeight="1" x14ac:dyDescent="0.25">
      <c r="B1648" s="41" t="s">
        <v>100</v>
      </c>
      <c r="C1648" s="41"/>
      <c r="D1648" s="41"/>
      <c r="E1648" s="41"/>
    </row>
    <row r="1649" spans="1:5" ht="10.95" customHeight="1" x14ac:dyDescent="0.2"/>
    <row r="1650" spans="1:5" ht="10.95" customHeight="1" x14ac:dyDescent="0.2"/>
    <row r="1651" spans="1:5" ht="10.95" customHeight="1" x14ac:dyDescent="0.2"/>
    <row r="1652" spans="1:5" ht="16.2" customHeight="1" x14ac:dyDescent="0.2">
      <c r="A1652" s="39" t="s">
        <v>0</v>
      </c>
      <c r="B1652" s="39"/>
      <c r="C1652" s="39"/>
      <c r="D1652" s="39"/>
      <c r="E1652" s="39"/>
    </row>
    <row r="1653" spans="1:5" ht="10.95" customHeight="1" x14ac:dyDescent="0.2">
      <c r="A1653" s="40" t="s">
        <v>1</v>
      </c>
      <c r="B1653" s="40"/>
      <c r="C1653" s="40"/>
      <c r="D1653" s="40"/>
      <c r="E1653" s="40"/>
    </row>
    <row r="1654" spans="1:5" ht="13.2" customHeight="1" x14ac:dyDescent="0.2">
      <c r="A1654" s="40" t="s">
        <v>198</v>
      </c>
      <c r="B1654" s="40"/>
      <c r="C1654" s="40"/>
      <c r="D1654" s="40"/>
      <c r="E1654" s="40"/>
    </row>
    <row r="1655" spans="1:5" ht="10.95" customHeight="1" x14ac:dyDescent="0.2"/>
    <row r="1656" spans="1:5" ht="10.95" customHeight="1" x14ac:dyDescent="0.2">
      <c r="C1656" s="42" t="s">
        <v>3</v>
      </c>
      <c r="D1656" s="42"/>
      <c r="E1656" s="42"/>
    </row>
    <row r="1657" spans="1:5" ht="12" customHeight="1" x14ac:dyDescent="0.2">
      <c r="D1657" s="26" t="s">
        <v>4</v>
      </c>
      <c r="E1657" s="24">
        <v>8177.7</v>
      </c>
    </row>
    <row r="1658" spans="1:5" ht="12" customHeight="1" x14ac:dyDescent="0.2">
      <c r="D1658" s="26" t="s">
        <v>5</v>
      </c>
      <c r="E1658" s="23">
        <v>102.5</v>
      </c>
    </row>
    <row r="1659" spans="1:5" ht="12" customHeight="1" x14ac:dyDescent="0.2">
      <c r="D1659" s="26" t="s">
        <v>6</v>
      </c>
      <c r="E1659" s="30">
        <v>2</v>
      </c>
    </row>
    <row r="1660" spans="1:5" ht="12" customHeight="1" x14ac:dyDescent="0.2">
      <c r="D1660" s="26" t="s">
        <v>7</v>
      </c>
      <c r="E1660" s="30">
        <v>18</v>
      </c>
    </row>
    <row r="1661" spans="1:5" ht="12" customHeight="1" x14ac:dyDescent="0.2">
      <c r="D1661" s="26" t="s">
        <v>8</v>
      </c>
      <c r="E1661" s="30">
        <v>142</v>
      </c>
    </row>
    <row r="1662" spans="1:5" ht="12" customHeight="1" x14ac:dyDescent="0.2">
      <c r="D1662" s="26" t="s">
        <v>9</v>
      </c>
      <c r="E1662" s="30">
        <v>383</v>
      </c>
    </row>
    <row r="1663" spans="1:5" ht="12" customHeight="1" x14ac:dyDescent="0.2">
      <c r="D1663" s="26" t="s">
        <v>10</v>
      </c>
      <c r="E1663" s="30">
        <v>6</v>
      </c>
    </row>
    <row r="1664" spans="1:5" ht="12" customHeight="1" x14ac:dyDescent="0.2">
      <c r="D1664" s="26" t="s">
        <v>11</v>
      </c>
      <c r="E1664" s="30">
        <v>2</v>
      </c>
    </row>
    <row r="1665" spans="1:6" ht="12" customHeight="1" x14ac:dyDescent="0.2">
      <c r="D1665" s="26" t="s">
        <v>12</v>
      </c>
      <c r="E1665" s="30">
        <v>0</v>
      </c>
    </row>
    <row r="1666" spans="1:6" ht="12" customHeight="1" x14ac:dyDescent="0.2">
      <c r="D1666" s="26" t="s">
        <v>13</v>
      </c>
      <c r="E1666" s="30">
        <v>1162</v>
      </c>
    </row>
    <row r="1667" spans="1:6" ht="12" customHeight="1" x14ac:dyDescent="0.25">
      <c r="A1667" s="2" t="s">
        <v>14</v>
      </c>
      <c r="B1667" s="3" t="s">
        <v>146</v>
      </c>
    </row>
    <row r="1668" spans="1:6" ht="10.95" customHeight="1" x14ac:dyDescent="0.2"/>
    <row r="1669" spans="1:6" ht="45" customHeight="1" x14ac:dyDescent="0.2">
      <c r="A1669" s="4" t="s">
        <v>15</v>
      </c>
      <c r="B1669" s="4" t="s">
        <v>131</v>
      </c>
      <c r="C1669" s="27" t="s">
        <v>17</v>
      </c>
      <c r="D1669" s="27" t="s">
        <v>103</v>
      </c>
      <c r="E1669" s="27" t="s">
        <v>19</v>
      </c>
    </row>
    <row r="1670" spans="1:6" ht="31.5" customHeight="1" x14ac:dyDescent="0.2">
      <c r="A1670" s="5">
        <v>1</v>
      </c>
      <c r="B1670" s="6" t="s">
        <v>190</v>
      </c>
      <c r="C1670" s="16"/>
      <c r="D1670" s="16"/>
      <c r="E1670" s="17">
        <f>E1671+E1678</f>
        <v>1005609.8679999999</v>
      </c>
    </row>
    <row r="1671" spans="1:6" ht="15" customHeight="1" x14ac:dyDescent="0.2">
      <c r="A1671" s="7" t="s">
        <v>21</v>
      </c>
      <c r="B1671" s="6" t="s">
        <v>132</v>
      </c>
      <c r="C1671" s="16"/>
      <c r="D1671" s="16"/>
      <c r="E1671" s="17">
        <f>SUM(E1672:E1677)</f>
        <v>560653.41999999993</v>
      </c>
    </row>
    <row r="1672" spans="1:6" ht="11.25" customHeight="1" x14ac:dyDescent="0.2">
      <c r="A1672" s="15" t="s">
        <v>23</v>
      </c>
      <c r="B1672" s="9" t="s">
        <v>34</v>
      </c>
      <c r="C1672" s="16">
        <v>0.96</v>
      </c>
      <c r="D1672" s="16">
        <v>18781</v>
      </c>
      <c r="E1672" s="19">
        <f>ROUND(C1672*D1672,2)*12</f>
        <v>216357.12</v>
      </c>
      <c r="F1672" s="20"/>
    </row>
    <row r="1673" spans="1:6" ht="11.25" customHeight="1" x14ac:dyDescent="0.2">
      <c r="A1673" s="8" t="s">
        <v>31</v>
      </c>
      <c r="B1673" s="9" t="s">
        <v>36</v>
      </c>
      <c r="C1673" s="16">
        <v>0.88</v>
      </c>
      <c r="D1673" s="16">
        <v>18781</v>
      </c>
      <c r="E1673" s="19">
        <f>ROUND(C1673*D1673,2)*12</f>
        <v>198327.36</v>
      </c>
    </row>
    <row r="1674" spans="1:6" ht="11.25" customHeight="1" x14ac:dyDescent="0.2">
      <c r="A1674" s="8" t="s">
        <v>121</v>
      </c>
      <c r="B1674" s="9" t="s">
        <v>38</v>
      </c>
      <c r="C1674" s="16">
        <v>30.2</v>
      </c>
      <c r="D1674" s="16">
        <f>E1672</f>
        <v>216357.12</v>
      </c>
      <c r="E1674" s="19">
        <f>ROUND(C1674*D1674/100,2)</f>
        <v>65339.85</v>
      </c>
    </row>
    <row r="1675" spans="1:6" ht="11.25" customHeight="1" x14ac:dyDescent="0.2">
      <c r="A1675" s="8" t="s">
        <v>186</v>
      </c>
      <c r="B1675" s="9" t="s">
        <v>40</v>
      </c>
      <c r="C1675" s="16">
        <v>30.2</v>
      </c>
      <c r="D1675" s="16">
        <f>E1673</f>
        <v>198327.36</v>
      </c>
      <c r="E1675" s="19">
        <f>ROUND(C1675*D1675/100,2)</f>
        <v>59894.86</v>
      </c>
    </row>
    <row r="1676" spans="1:6" ht="11.25" customHeight="1" x14ac:dyDescent="0.2">
      <c r="A1676" s="8" t="s">
        <v>187</v>
      </c>
      <c r="B1676" s="9" t="s">
        <v>42</v>
      </c>
      <c r="C1676" s="16"/>
      <c r="D1676" s="16"/>
      <c r="E1676" s="19">
        <f>ROUND(E1672*0.05,2)</f>
        <v>10817.86</v>
      </c>
    </row>
    <row r="1677" spans="1:6" ht="11.25" customHeight="1" x14ac:dyDescent="0.2">
      <c r="A1677" s="8" t="s">
        <v>188</v>
      </c>
      <c r="B1677" s="9" t="s">
        <v>44</v>
      </c>
      <c r="C1677" s="16"/>
      <c r="D1677" s="16"/>
      <c r="E1677" s="19">
        <f>ROUND(E1673*0.05,2)</f>
        <v>9916.3700000000008</v>
      </c>
    </row>
    <row r="1678" spans="1:6" ht="15" customHeight="1" x14ac:dyDescent="0.2">
      <c r="A1678" s="7" t="s">
        <v>45</v>
      </c>
      <c r="B1678" s="6" t="s">
        <v>189</v>
      </c>
      <c r="C1678" s="16"/>
      <c r="D1678" s="16"/>
      <c r="E1678" s="17">
        <f>E1679+E1680+E1681+E1682</f>
        <v>444956.44799999997</v>
      </c>
    </row>
    <row r="1679" spans="1:6" ht="11.25" customHeight="1" x14ac:dyDescent="0.2">
      <c r="A1679" s="8" t="s">
        <v>47</v>
      </c>
      <c r="B1679" s="9" t="s">
        <v>48</v>
      </c>
      <c r="C1679" s="16">
        <v>1.1599999999999999</v>
      </c>
      <c r="D1679" s="16">
        <v>18781</v>
      </c>
      <c r="E1679" s="19">
        <f>ROUND(C1679*D1679,2)*12</f>
        <v>261431.52</v>
      </c>
      <c r="F1679" s="20"/>
    </row>
    <row r="1680" spans="1:6" ht="11.25" customHeight="1" x14ac:dyDescent="0.2">
      <c r="A1680" s="8" t="s">
        <v>49</v>
      </c>
      <c r="B1680" s="9" t="s">
        <v>50</v>
      </c>
      <c r="C1680" s="16">
        <v>30.2</v>
      </c>
      <c r="D1680" s="16">
        <f>E1679</f>
        <v>261431.52</v>
      </c>
      <c r="E1680" s="19">
        <f>ROUND(C1680*D1680/100,2)</f>
        <v>78952.320000000007</v>
      </c>
    </row>
    <row r="1681" spans="1:5" ht="11.25" customHeight="1" x14ac:dyDescent="0.2">
      <c r="A1681" s="8" t="s">
        <v>51</v>
      </c>
      <c r="B1681" s="9" t="s">
        <v>52</v>
      </c>
      <c r="C1681" s="16"/>
      <c r="D1681" s="16"/>
      <c r="E1681" s="19">
        <f>E1679*0.3</f>
        <v>78429.455999999991</v>
      </c>
    </row>
    <row r="1682" spans="1:5" ht="11.25" customHeight="1" x14ac:dyDescent="0.2">
      <c r="A1682" s="8" t="s">
        <v>53</v>
      </c>
      <c r="B1682" s="9" t="s">
        <v>54</v>
      </c>
      <c r="C1682" s="16"/>
      <c r="D1682" s="16"/>
      <c r="E1682" s="19">
        <f>E1679*0.1</f>
        <v>26143.152000000002</v>
      </c>
    </row>
    <row r="1683" spans="1:5" ht="20.100000000000001" customHeight="1" x14ac:dyDescent="0.2">
      <c r="A1683" s="5">
        <v>2</v>
      </c>
      <c r="B1683" s="6" t="s">
        <v>57</v>
      </c>
      <c r="C1683" s="16"/>
      <c r="D1683" s="16"/>
      <c r="E1683" s="17">
        <f>E1684+E1686+E1687+E1688+E1689+E1690+E1685</f>
        <v>853355.05</v>
      </c>
    </row>
    <row r="1684" spans="1:5" ht="11.25" customHeight="1" x14ac:dyDescent="0.2">
      <c r="A1684" s="35" t="s">
        <v>58</v>
      </c>
      <c r="B1684" s="9" t="s">
        <v>204</v>
      </c>
      <c r="C1684" s="16">
        <v>555.35</v>
      </c>
      <c r="D1684" s="16">
        <f>E1684/C1684</f>
        <v>177.9700009003331</v>
      </c>
      <c r="E1684" s="19">
        <v>98835.64</v>
      </c>
    </row>
    <row r="1685" spans="1:5" ht="11.25" customHeight="1" x14ac:dyDescent="0.2">
      <c r="A1685" s="35" t="s">
        <v>60</v>
      </c>
      <c r="B1685" s="9" t="s">
        <v>195</v>
      </c>
      <c r="C1685" s="16">
        <v>555.35</v>
      </c>
      <c r="D1685" s="16">
        <f>E1685/C1685</f>
        <v>219.6334383721977</v>
      </c>
      <c r="E1685" s="19">
        <v>121973.43</v>
      </c>
    </row>
    <row r="1686" spans="1:5" ht="11.25" customHeight="1" x14ac:dyDescent="0.2">
      <c r="A1686" s="35" t="s">
        <v>62</v>
      </c>
      <c r="B1686" s="9" t="s">
        <v>196</v>
      </c>
      <c r="C1686" s="16">
        <v>176.18</v>
      </c>
      <c r="D1686" s="16">
        <f>E1686/C1686</f>
        <v>848.4012373708706</v>
      </c>
      <c r="E1686" s="19">
        <v>149471.32999999999</v>
      </c>
    </row>
    <row r="1687" spans="1:5" ht="11.25" customHeight="1" x14ac:dyDescent="0.2">
      <c r="A1687" s="35" t="s">
        <v>64</v>
      </c>
      <c r="B1687" s="9" t="s">
        <v>63</v>
      </c>
      <c r="C1687" s="16">
        <f>E1687/D1687</f>
        <v>88909.727688787199</v>
      </c>
      <c r="D1687" s="16">
        <v>4.37</v>
      </c>
      <c r="E1687" s="19">
        <f>396619.4-4612.48-3471.41</f>
        <v>388535.51000000007</v>
      </c>
    </row>
    <row r="1688" spans="1:5" ht="11.25" customHeight="1" x14ac:dyDescent="0.2">
      <c r="A1688" s="35" t="s">
        <v>66</v>
      </c>
      <c r="B1688" s="9" t="s">
        <v>65</v>
      </c>
      <c r="C1688" s="16">
        <f>E1688/D1688</f>
        <v>1353.2425488180884</v>
      </c>
      <c r="D1688" s="16">
        <v>68.11</v>
      </c>
      <c r="E1688" s="19">
        <f>68349.87+3471.41+20348.07</f>
        <v>92169.35</v>
      </c>
    </row>
    <row r="1689" spans="1:5" ht="11.25" customHeight="1" x14ac:dyDescent="0.2">
      <c r="A1689" s="35" t="s">
        <v>68</v>
      </c>
      <c r="B1689" s="9" t="s">
        <v>69</v>
      </c>
      <c r="C1689" s="16">
        <v>707.4</v>
      </c>
      <c r="D1689" s="16">
        <f>E1689/C1689</f>
        <v>3.35</v>
      </c>
      <c r="E1689" s="19">
        <v>2369.79</v>
      </c>
    </row>
    <row r="1690" spans="1:5" ht="11.25" customHeight="1" x14ac:dyDescent="0.2">
      <c r="A1690" s="35" t="s">
        <v>70</v>
      </c>
      <c r="B1690" s="9" t="s">
        <v>71</v>
      </c>
      <c r="C1690" s="16"/>
      <c r="D1690" s="16"/>
      <c r="E1690" s="19">
        <v>0</v>
      </c>
    </row>
    <row r="1691" spans="1:5" ht="20.100000000000001" customHeight="1" x14ac:dyDescent="0.2">
      <c r="A1691" s="5">
        <v>3</v>
      </c>
      <c r="B1691" s="6" t="s">
        <v>72</v>
      </c>
      <c r="C1691" s="16"/>
      <c r="D1691" s="16"/>
      <c r="E1691" s="17">
        <f>E1692+E1693+E1694+E1695+E1696+E1697+E1698+E1699+E1700+E1702+E1701</f>
        <v>731730.43964119942</v>
      </c>
    </row>
    <row r="1692" spans="1:5" ht="11.25" customHeight="1" x14ac:dyDescent="0.2">
      <c r="A1692" s="8" t="s">
        <v>73</v>
      </c>
      <c r="B1692" s="9" t="s">
        <v>74</v>
      </c>
      <c r="C1692" s="34">
        <v>6</v>
      </c>
      <c r="D1692" s="16">
        <f>E1692/C1692/12</f>
        <v>5602.9199999999992</v>
      </c>
      <c r="E1692" s="19">
        <v>403410.24</v>
      </c>
    </row>
    <row r="1693" spans="1:5" ht="11.25" customHeight="1" x14ac:dyDescent="0.2">
      <c r="A1693" s="8" t="s">
        <v>75</v>
      </c>
      <c r="B1693" s="9" t="s">
        <v>76</v>
      </c>
      <c r="C1693" s="34">
        <v>142</v>
      </c>
      <c r="D1693" s="16">
        <f>E1693/C1693</f>
        <v>199.16021126760563</v>
      </c>
      <c r="E1693" s="19">
        <v>28280.75</v>
      </c>
    </row>
    <row r="1694" spans="1:5" ht="11.25" customHeight="1" x14ac:dyDescent="0.2">
      <c r="A1694" s="8" t="s">
        <v>77</v>
      </c>
      <c r="B1694" s="9" t="s">
        <v>78</v>
      </c>
      <c r="C1694" s="34">
        <v>2</v>
      </c>
      <c r="D1694" s="16">
        <f>E1694/C1694/12</f>
        <v>7402.6133333333337</v>
      </c>
      <c r="E1694" s="19">
        <v>177662.72</v>
      </c>
    </row>
    <row r="1695" spans="1:5" ht="11.25" customHeight="1" x14ac:dyDescent="0.2">
      <c r="A1695" s="8" t="s">
        <v>79</v>
      </c>
      <c r="B1695" s="9" t="s">
        <v>80</v>
      </c>
      <c r="C1695" s="16">
        <v>8177.7</v>
      </c>
      <c r="D1695" s="16">
        <f>E1695/C1695</f>
        <v>4.2020861611455542</v>
      </c>
      <c r="E1695" s="19">
        <v>34363.4</v>
      </c>
    </row>
    <row r="1696" spans="1:5" ht="11.25" customHeight="1" x14ac:dyDescent="0.2">
      <c r="A1696" s="8" t="s">
        <v>81</v>
      </c>
      <c r="B1696" s="9" t="s">
        <v>82</v>
      </c>
      <c r="C1696" s="34">
        <v>284</v>
      </c>
      <c r="D1696" s="16">
        <f>E1696/C1696</f>
        <v>70.455845070422527</v>
      </c>
      <c r="E1696" s="19">
        <v>20009.46</v>
      </c>
    </row>
    <row r="1697" spans="1:6" ht="11.25" customHeight="1" x14ac:dyDescent="0.2">
      <c r="A1697" s="8" t="s">
        <v>83</v>
      </c>
      <c r="B1697" s="9" t="s">
        <v>194</v>
      </c>
      <c r="C1697" s="34">
        <v>142</v>
      </c>
      <c r="D1697" s="16">
        <f>E1697/C1697</f>
        <v>87.363873239436614</v>
      </c>
      <c r="E1697" s="19">
        <v>12405.67</v>
      </c>
    </row>
    <row r="1698" spans="1:6" ht="11.25" customHeight="1" x14ac:dyDescent="0.2">
      <c r="A1698" s="8" t="s">
        <v>85</v>
      </c>
      <c r="B1698" s="9" t="s">
        <v>86</v>
      </c>
      <c r="C1698" s="16"/>
      <c r="D1698" s="16"/>
      <c r="E1698" s="19">
        <v>0</v>
      </c>
    </row>
    <row r="1699" spans="1:6" ht="11.25" customHeight="1" x14ac:dyDescent="0.2">
      <c r="A1699" s="8" t="s">
        <v>87</v>
      </c>
      <c r="B1699" s="9" t="s">
        <v>88</v>
      </c>
      <c r="C1699" s="16"/>
      <c r="D1699" s="16"/>
      <c r="E1699" s="19">
        <v>0</v>
      </c>
    </row>
    <row r="1700" spans="1:6" ht="11.25" customHeight="1" x14ac:dyDescent="0.2">
      <c r="A1700" s="8" t="s">
        <v>89</v>
      </c>
      <c r="B1700" s="9" t="s">
        <v>90</v>
      </c>
      <c r="C1700" s="34">
        <v>142</v>
      </c>
      <c r="D1700" s="16">
        <f>E1700/C1700</f>
        <v>274.51422535211265</v>
      </c>
      <c r="E1700" s="19">
        <v>38981.019999999997</v>
      </c>
    </row>
    <row r="1701" spans="1:6" ht="11.25" customHeight="1" x14ac:dyDescent="0.2">
      <c r="A1701" s="8" t="s">
        <v>91</v>
      </c>
      <c r="B1701" s="9" t="s">
        <v>202</v>
      </c>
      <c r="C1701" s="34">
        <v>6</v>
      </c>
      <c r="D1701" s="16">
        <f>E1701/C1701</f>
        <v>2769.5299401998959</v>
      </c>
      <c r="E1701" s="19">
        <f>2826.16*6*1.2*0.81663515754</f>
        <v>16617.179641199375</v>
      </c>
    </row>
    <row r="1702" spans="1:6" ht="11.25" customHeight="1" x14ac:dyDescent="0.2">
      <c r="A1702" s="8" t="s">
        <v>203</v>
      </c>
      <c r="B1702" s="9" t="s">
        <v>92</v>
      </c>
      <c r="C1702" s="16"/>
      <c r="D1702" s="16"/>
      <c r="E1702" s="19">
        <v>0</v>
      </c>
    </row>
    <row r="1703" spans="1:6" ht="15" customHeight="1" x14ac:dyDescent="0.2">
      <c r="A1703" s="5">
        <v>4</v>
      </c>
      <c r="B1703" s="6" t="s">
        <v>193</v>
      </c>
      <c r="C1703" s="16"/>
      <c r="D1703" s="16"/>
      <c r="E1703" s="17">
        <f>ROUND(F1704/1.1*0.1,2)</f>
        <v>259069.54</v>
      </c>
    </row>
    <row r="1704" spans="1:6" ht="18.75" customHeight="1" x14ac:dyDescent="0.2">
      <c r="A1704" s="10"/>
      <c r="B1704" s="11" t="s">
        <v>94</v>
      </c>
      <c r="C1704" s="21"/>
      <c r="D1704" s="21"/>
      <c r="E1704" s="17">
        <f>E1670+E1683+E1691+E1703</f>
        <v>2849764.8976411996</v>
      </c>
      <c r="F1704" s="25">
        <f>E1657*29.04*12</f>
        <v>2849764.8959999997</v>
      </c>
    </row>
    <row r="1705" spans="1:6" ht="15" customHeight="1" x14ac:dyDescent="0.25">
      <c r="A1705" s="10"/>
      <c r="B1705" s="11" t="s">
        <v>199</v>
      </c>
      <c r="C1705" s="21"/>
      <c r="D1705" s="21"/>
      <c r="E1705" s="22">
        <v>29.04</v>
      </c>
    </row>
    <row r="1706" spans="1:6" ht="10.95" customHeight="1" x14ac:dyDescent="0.2"/>
    <row r="1707" spans="1:6" ht="10.95" customHeight="1" x14ac:dyDescent="0.2"/>
    <row r="1708" spans="1:6" ht="10.95" customHeight="1" x14ac:dyDescent="0.2"/>
    <row r="1709" spans="1:6" ht="15" customHeight="1" x14ac:dyDescent="0.25">
      <c r="B1709" s="12" t="s">
        <v>96</v>
      </c>
    </row>
    <row r="1710" spans="1:6" ht="12" customHeight="1" x14ac:dyDescent="0.2"/>
    <row r="1711" spans="1:6" ht="13.2" customHeight="1" x14ac:dyDescent="0.25">
      <c r="B1711" s="3" t="s">
        <v>97</v>
      </c>
    </row>
    <row r="1712" spans="1:6" ht="7.95" customHeight="1" x14ac:dyDescent="0.2"/>
    <row r="1713" spans="1:5" ht="12" customHeight="1" x14ac:dyDescent="0.25">
      <c r="B1713" s="41" t="s">
        <v>100</v>
      </c>
      <c r="C1713" s="41"/>
      <c r="D1713" s="41"/>
      <c r="E1713" s="41"/>
    </row>
    <row r="1714" spans="1:5" ht="10.95" customHeight="1" x14ac:dyDescent="0.2"/>
    <row r="1715" spans="1:5" ht="10.95" customHeight="1" x14ac:dyDescent="0.2"/>
    <row r="1716" spans="1:5" ht="10.95" customHeight="1" x14ac:dyDescent="0.2"/>
    <row r="1717" spans="1:5" ht="16.2" customHeight="1" x14ac:dyDescent="0.2">
      <c r="A1717" s="39" t="s">
        <v>0</v>
      </c>
      <c r="B1717" s="39"/>
      <c r="C1717" s="39"/>
      <c r="D1717" s="39"/>
      <c r="E1717" s="39"/>
    </row>
    <row r="1718" spans="1:5" ht="10.95" customHeight="1" x14ac:dyDescent="0.2">
      <c r="A1718" s="40" t="s">
        <v>1</v>
      </c>
      <c r="B1718" s="40"/>
      <c r="C1718" s="40"/>
      <c r="D1718" s="40"/>
      <c r="E1718" s="40"/>
    </row>
    <row r="1719" spans="1:5" ht="13.2" customHeight="1" x14ac:dyDescent="0.2">
      <c r="A1719" s="40" t="s">
        <v>198</v>
      </c>
      <c r="B1719" s="40"/>
      <c r="C1719" s="40"/>
      <c r="D1719" s="40"/>
      <c r="E1719" s="40"/>
    </row>
    <row r="1720" spans="1:5" ht="10.95" customHeight="1" x14ac:dyDescent="0.2"/>
    <row r="1721" spans="1:5" ht="10.95" customHeight="1" x14ac:dyDescent="0.2">
      <c r="C1721" s="42" t="s">
        <v>3</v>
      </c>
      <c r="D1721" s="42"/>
      <c r="E1721" s="42"/>
    </row>
    <row r="1722" spans="1:5" ht="12" customHeight="1" x14ac:dyDescent="0.2">
      <c r="D1722" s="26" t="s">
        <v>4</v>
      </c>
      <c r="E1722" s="24">
        <v>10514.4</v>
      </c>
    </row>
    <row r="1723" spans="1:5" ht="12" customHeight="1" x14ac:dyDescent="0.2">
      <c r="D1723" s="26" t="s">
        <v>5</v>
      </c>
      <c r="E1723" s="23">
        <v>227.7</v>
      </c>
    </row>
    <row r="1724" spans="1:5" ht="12" customHeight="1" x14ac:dyDescent="0.2">
      <c r="D1724" s="26" t="s">
        <v>6</v>
      </c>
      <c r="E1724" s="30">
        <v>6</v>
      </c>
    </row>
    <row r="1725" spans="1:5" ht="12" customHeight="1" x14ac:dyDescent="0.2">
      <c r="D1725" s="26" t="s">
        <v>7</v>
      </c>
      <c r="E1725" s="30">
        <v>9</v>
      </c>
    </row>
    <row r="1726" spans="1:5" ht="12" customHeight="1" x14ac:dyDescent="0.2">
      <c r="D1726" s="26" t="s">
        <v>8</v>
      </c>
      <c r="E1726" s="30">
        <v>214</v>
      </c>
    </row>
    <row r="1727" spans="1:5" ht="12" customHeight="1" x14ac:dyDescent="0.2">
      <c r="D1727" s="26" t="s">
        <v>9</v>
      </c>
      <c r="E1727" s="30">
        <v>524</v>
      </c>
    </row>
    <row r="1728" spans="1:5" ht="12" customHeight="1" x14ac:dyDescent="0.2">
      <c r="D1728" s="26" t="s">
        <v>10</v>
      </c>
      <c r="E1728" s="30">
        <v>6</v>
      </c>
    </row>
    <row r="1729" spans="1:6" ht="12" customHeight="1" x14ac:dyDescent="0.2">
      <c r="D1729" s="26" t="s">
        <v>11</v>
      </c>
      <c r="E1729" s="30">
        <v>0</v>
      </c>
    </row>
    <row r="1730" spans="1:6" ht="12" customHeight="1" x14ac:dyDescent="0.2">
      <c r="D1730" s="26" t="s">
        <v>12</v>
      </c>
      <c r="E1730" s="30">
        <v>0</v>
      </c>
    </row>
    <row r="1731" spans="1:6" ht="12" customHeight="1" x14ac:dyDescent="0.2">
      <c r="D1731" s="26" t="s">
        <v>13</v>
      </c>
      <c r="E1731" s="30">
        <v>1145</v>
      </c>
    </row>
    <row r="1732" spans="1:6" ht="12" customHeight="1" x14ac:dyDescent="0.25">
      <c r="A1732" s="2" t="s">
        <v>14</v>
      </c>
      <c r="B1732" s="3" t="s">
        <v>147</v>
      </c>
    </row>
    <row r="1733" spans="1:6" ht="10.95" customHeight="1" x14ac:dyDescent="0.2"/>
    <row r="1734" spans="1:6" ht="45" customHeight="1" x14ac:dyDescent="0.2">
      <c r="A1734" s="4" t="s">
        <v>15</v>
      </c>
      <c r="B1734" s="4" t="s">
        <v>131</v>
      </c>
      <c r="C1734" s="27" t="s">
        <v>17</v>
      </c>
      <c r="D1734" s="27" t="s">
        <v>103</v>
      </c>
      <c r="E1734" s="27" t="s">
        <v>19</v>
      </c>
    </row>
    <row r="1735" spans="1:6" ht="31.5" customHeight="1" x14ac:dyDescent="0.2">
      <c r="A1735" s="5">
        <v>1</v>
      </c>
      <c r="B1735" s="6" t="s">
        <v>190</v>
      </c>
      <c r="C1735" s="16"/>
      <c r="D1735" s="16"/>
      <c r="E1735" s="17">
        <f>E1736+E1743</f>
        <v>1858056.912</v>
      </c>
    </row>
    <row r="1736" spans="1:6" ht="15" customHeight="1" x14ac:dyDescent="0.2">
      <c r="A1736" s="7" t="s">
        <v>21</v>
      </c>
      <c r="B1736" s="6" t="s">
        <v>132</v>
      </c>
      <c r="C1736" s="16"/>
      <c r="D1736" s="16"/>
      <c r="E1736" s="17">
        <f>SUM(E1737:E1742)</f>
        <v>770898.44799999997</v>
      </c>
    </row>
    <row r="1737" spans="1:6" ht="11.25" customHeight="1" x14ac:dyDescent="0.2">
      <c r="A1737" s="15" t="s">
        <v>23</v>
      </c>
      <c r="B1737" s="9" t="s">
        <v>34</v>
      </c>
      <c r="C1737" s="16">
        <v>1.31</v>
      </c>
      <c r="D1737" s="16">
        <v>18781</v>
      </c>
      <c r="E1737" s="19">
        <f>ROUND(C1737*D1737,2)*12</f>
        <v>295237.32</v>
      </c>
      <c r="F1737" s="20"/>
    </row>
    <row r="1738" spans="1:6" ht="11.25" customHeight="1" x14ac:dyDescent="0.2">
      <c r="A1738" s="8" t="s">
        <v>31</v>
      </c>
      <c r="B1738" s="9" t="s">
        <v>36</v>
      </c>
      <c r="C1738" s="16">
        <v>1.22</v>
      </c>
      <c r="D1738" s="16">
        <v>18781</v>
      </c>
      <c r="E1738" s="19">
        <f>ROUND(C1738*D1738,2)*12</f>
        <v>274953.83999999997</v>
      </c>
    </row>
    <row r="1739" spans="1:6" ht="11.25" customHeight="1" x14ac:dyDescent="0.2">
      <c r="A1739" s="8" t="s">
        <v>121</v>
      </c>
      <c r="B1739" s="9" t="s">
        <v>38</v>
      </c>
      <c r="C1739" s="16">
        <v>30.2</v>
      </c>
      <c r="D1739" s="16">
        <f>E1737</f>
        <v>295237.32</v>
      </c>
      <c r="E1739" s="19">
        <f>ROUND(C1739*D1739/100,2)</f>
        <v>89161.67</v>
      </c>
    </row>
    <row r="1740" spans="1:6" ht="11.25" customHeight="1" x14ac:dyDescent="0.2">
      <c r="A1740" s="8" t="s">
        <v>186</v>
      </c>
      <c r="B1740" s="9" t="s">
        <v>40</v>
      </c>
      <c r="C1740" s="16">
        <v>30.2</v>
      </c>
      <c r="D1740" s="16">
        <f>E1738</f>
        <v>274953.83999999997</v>
      </c>
      <c r="E1740" s="19">
        <f>ROUND(C1740*D1740/100,2)</f>
        <v>83036.06</v>
      </c>
    </row>
    <row r="1741" spans="1:6" ht="11.25" customHeight="1" x14ac:dyDescent="0.2">
      <c r="A1741" s="8" t="s">
        <v>187</v>
      </c>
      <c r="B1741" s="9" t="s">
        <v>42</v>
      </c>
      <c r="C1741" s="16"/>
      <c r="D1741" s="16"/>
      <c r="E1741" s="19">
        <f>E1737*0.05</f>
        <v>14761.866000000002</v>
      </c>
    </row>
    <row r="1742" spans="1:6" ht="11.25" customHeight="1" x14ac:dyDescent="0.2">
      <c r="A1742" s="8" t="s">
        <v>188</v>
      </c>
      <c r="B1742" s="9" t="s">
        <v>44</v>
      </c>
      <c r="C1742" s="16"/>
      <c r="D1742" s="16"/>
      <c r="E1742" s="19">
        <f>E1738*0.05</f>
        <v>13747.691999999999</v>
      </c>
    </row>
    <row r="1743" spans="1:6" ht="15" customHeight="1" x14ac:dyDescent="0.2">
      <c r="A1743" s="7" t="s">
        <v>45</v>
      </c>
      <c r="B1743" s="6" t="s">
        <v>189</v>
      </c>
      <c r="C1743" s="16"/>
      <c r="D1743" s="16"/>
      <c r="E1743" s="17">
        <f>E1744+E1745+E1746+E1747</f>
        <v>1087158.4639999999</v>
      </c>
    </row>
    <row r="1744" spans="1:6" ht="11.25" customHeight="1" x14ac:dyDescent="0.2">
      <c r="A1744" s="8" t="s">
        <v>47</v>
      </c>
      <c r="B1744" s="9" t="s">
        <v>48</v>
      </c>
      <c r="C1744" s="16">
        <v>2.92</v>
      </c>
      <c r="D1744" s="16">
        <v>18781</v>
      </c>
      <c r="E1744" s="19">
        <f>ROUND(C1744*D1744,2)*12</f>
        <v>658086.24</v>
      </c>
      <c r="F1744" s="20"/>
    </row>
    <row r="1745" spans="1:5" ht="11.25" customHeight="1" x14ac:dyDescent="0.2">
      <c r="A1745" s="8" t="s">
        <v>49</v>
      </c>
      <c r="B1745" s="9" t="s">
        <v>50</v>
      </c>
      <c r="C1745" s="16">
        <v>30.2</v>
      </c>
      <c r="D1745" s="16">
        <f>E1744</f>
        <v>658086.24</v>
      </c>
      <c r="E1745" s="19">
        <f>ROUND(C1745*D1745/100,2)</f>
        <v>198742.04</v>
      </c>
    </row>
    <row r="1746" spans="1:5" ht="11.25" customHeight="1" x14ac:dyDescent="0.2">
      <c r="A1746" s="8" t="s">
        <v>51</v>
      </c>
      <c r="B1746" s="9" t="s">
        <v>52</v>
      </c>
      <c r="C1746" s="16"/>
      <c r="D1746" s="16"/>
      <c r="E1746" s="19">
        <f>E1744*0.3</f>
        <v>197425.872</v>
      </c>
    </row>
    <row r="1747" spans="1:5" ht="11.25" customHeight="1" x14ac:dyDescent="0.2">
      <c r="A1747" s="8" t="s">
        <v>53</v>
      </c>
      <c r="B1747" s="9" t="s">
        <v>54</v>
      </c>
      <c r="C1747" s="16"/>
      <c r="D1747" s="16"/>
      <c r="E1747" s="19">
        <f>E1744*0.05</f>
        <v>32904.311999999998</v>
      </c>
    </row>
    <row r="1748" spans="1:5" ht="20.100000000000001" customHeight="1" x14ac:dyDescent="0.2">
      <c r="A1748" s="5">
        <v>2</v>
      </c>
      <c r="B1748" s="6" t="s">
        <v>57</v>
      </c>
      <c r="C1748" s="16"/>
      <c r="D1748" s="16"/>
      <c r="E1748" s="17">
        <f>E1749+E1751+E1752+E1753+E1754+E1755+E1750</f>
        <v>1037593.23</v>
      </c>
    </row>
    <row r="1749" spans="1:5" ht="11.25" customHeight="1" x14ac:dyDescent="0.2">
      <c r="A1749" s="35" t="s">
        <v>58</v>
      </c>
      <c r="B1749" s="9" t="s">
        <v>204</v>
      </c>
      <c r="C1749" s="16">
        <v>759.8</v>
      </c>
      <c r="D1749" s="16">
        <f>E1749/C1749</f>
        <v>177.97000526454329</v>
      </c>
      <c r="E1749" s="19">
        <v>135221.60999999999</v>
      </c>
    </row>
    <row r="1750" spans="1:5" ht="11.25" customHeight="1" x14ac:dyDescent="0.2">
      <c r="A1750" s="35" t="s">
        <v>60</v>
      </c>
      <c r="B1750" s="9" t="s">
        <v>195</v>
      </c>
      <c r="C1750" s="16">
        <v>759.8</v>
      </c>
      <c r="D1750" s="16">
        <f>E1750/C1750</f>
        <v>219.63342984996055</v>
      </c>
      <c r="E1750" s="19">
        <v>166877.48000000001</v>
      </c>
    </row>
    <row r="1751" spans="1:5" ht="11.25" customHeight="1" x14ac:dyDescent="0.2">
      <c r="A1751" s="35" t="s">
        <v>62</v>
      </c>
      <c r="B1751" s="9" t="s">
        <v>196</v>
      </c>
      <c r="C1751" s="16">
        <v>241.04</v>
      </c>
      <c r="D1751" s="16">
        <f>E1751/C1751</f>
        <v>848.40126120146044</v>
      </c>
      <c r="E1751" s="19">
        <v>204498.64</v>
      </c>
    </row>
    <row r="1752" spans="1:5" ht="11.25" customHeight="1" x14ac:dyDescent="0.2">
      <c r="A1752" s="35" t="s">
        <v>64</v>
      </c>
      <c r="B1752" s="9" t="s">
        <v>63</v>
      </c>
      <c r="C1752" s="16">
        <f>E1752/D1752</f>
        <v>73515.638025594148</v>
      </c>
      <c r="D1752" s="16">
        <v>5.47</v>
      </c>
      <c r="E1752" s="19">
        <f>382900+19230.54</f>
        <v>402130.54</v>
      </c>
    </row>
    <row r="1753" spans="1:5" ht="11.25" customHeight="1" x14ac:dyDescent="0.2">
      <c r="A1753" s="35" t="s">
        <v>66</v>
      </c>
      <c r="B1753" s="9" t="s">
        <v>65</v>
      </c>
      <c r="C1753" s="16">
        <f>E1753/D1753</f>
        <v>1823.0252532667744</v>
      </c>
      <c r="D1753" s="16">
        <v>68.11</v>
      </c>
      <c r="E1753" s="19">
        <f>103818.18+20348.07</f>
        <v>124166.25</v>
      </c>
    </row>
    <row r="1754" spans="1:5" ht="11.25" customHeight="1" x14ac:dyDescent="0.2">
      <c r="A1754" s="35" t="s">
        <v>68</v>
      </c>
      <c r="B1754" s="9" t="s">
        <v>69</v>
      </c>
      <c r="C1754" s="16">
        <v>1402.6</v>
      </c>
      <c r="D1754" s="16">
        <f>E1754/C1754</f>
        <v>3.35</v>
      </c>
      <c r="E1754" s="19">
        <v>4698.71</v>
      </c>
    </row>
    <row r="1755" spans="1:5" ht="11.25" customHeight="1" x14ac:dyDescent="0.2">
      <c r="A1755" s="35" t="s">
        <v>70</v>
      </c>
      <c r="B1755" s="9" t="s">
        <v>71</v>
      </c>
      <c r="C1755" s="16"/>
      <c r="D1755" s="16"/>
      <c r="E1755" s="19">
        <v>0</v>
      </c>
    </row>
    <row r="1756" spans="1:5" ht="20.100000000000001" customHeight="1" x14ac:dyDescent="0.2">
      <c r="A1756" s="5">
        <v>3</v>
      </c>
      <c r="B1756" s="6" t="s">
        <v>72</v>
      </c>
      <c r="C1756" s="16"/>
      <c r="D1756" s="16"/>
      <c r="E1756" s="17">
        <f>E1757+E1758+E1759+E1760+E1761+E1762+E1763+E1764+E1765+E1767+E1766</f>
        <v>435311.77964119933</v>
      </c>
    </row>
    <row r="1757" spans="1:5" ht="11.25" customHeight="1" x14ac:dyDescent="0.2">
      <c r="A1757" s="8" t="s">
        <v>73</v>
      </c>
      <c r="B1757" s="9" t="s">
        <v>74</v>
      </c>
      <c r="C1757" s="34">
        <v>6</v>
      </c>
      <c r="D1757" s="16">
        <v>41529.58</v>
      </c>
      <c r="E1757" s="19">
        <v>211341.31</v>
      </c>
    </row>
    <row r="1758" spans="1:5" ht="11.25" customHeight="1" x14ac:dyDescent="0.2">
      <c r="A1758" s="8" t="s">
        <v>75</v>
      </c>
      <c r="B1758" s="9" t="s">
        <v>76</v>
      </c>
      <c r="C1758" s="34"/>
      <c r="D1758" s="16"/>
      <c r="E1758" s="19">
        <v>0</v>
      </c>
    </row>
    <row r="1759" spans="1:5" ht="11.25" customHeight="1" x14ac:dyDescent="0.2">
      <c r="A1759" s="8" t="s">
        <v>77</v>
      </c>
      <c r="B1759" s="9" t="s">
        <v>78</v>
      </c>
      <c r="C1759" s="34"/>
      <c r="D1759" s="16"/>
      <c r="E1759" s="19">
        <v>0</v>
      </c>
    </row>
    <row r="1760" spans="1:5" ht="11.25" customHeight="1" x14ac:dyDescent="0.2">
      <c r="A1760" s="8" t="s">
        <v>79</v>
      </c>
      <c r="B1760" s="9" t="s">
        <v>80</v>
      </c>
      <c r="C1760" s="16">
        <v>10514.4</v>
      </c>
      <c r="D1760" s="16">
        <f>E1760/C1760</f>
        <v>4.239943315833524</v>
      </c>
      <c r="E1760" s="19">
        <v>44580.46</v>
      </c>
    </row>
    <row r="1761" spans="1:6" ht="11.25" customHeight="1" x14ac:dyDescent="0.2">
      <c r="A1761" s="8" t="s">
        <v>81</v>
      </c>
      <c r="B1761" s="9" t="s">
        <v>82</v>
      </c>
      <c r="C1761" s="34">
        <v>428</v>
      </c>
      <c r="D1761" s="16">
        <f>E1761/C1761</f>
        <v>71.73803738317757</v>
      </c>
      <c r="E1761" s="19">
        <v>30703.88</v>
      </c>
    </row>
    <row r="1762" spans="1:6" ht="11.25" customHeight="1" x14ac:dyDescent="0.2">
      <c r="A1762" s="8" t="s">
        <v>83</v>
      </c>
      <c r="B1762" s="9" t="s">
        <v>194</v>
      </c>
      <c r="C1762" s="34">
        <v>214</v>
      </c>
      <c r="D1762" s="16">
        <f>E1762/C1762</f>
        <v>86.479345794392529</v>
      </c>
      <c r="E1762" s="19">
        <v>18506.580000000002</v>
      </c>
    </row>
    <row r="1763" spans="1:6" ht="11.25" customHeight="1" x14ac:dyDescent="0.2">
      <c r="A1763" s="8" t="s">
        <v>85</v>
      </c>
      <c r="B1763" s="9" t="s">
        <v>86</v>
      </c>
      <c r="C1763" s="34"/>
      <c r="D1763" s="16"/>
      <c r="E1763" s="19">
        <v>0</v>
      </c>
    </row>
    <row r="1764" spans="1:6" ht="11.25" customHeight="1" x14ac:dyDescent="0.2">
      <c r="A1764" s="8" t="s">
        <v>87</v>
      </c>
      <c r="B1764" s="9" t="s">
        <v>88</v>
      </c>
      <c r="C1764" s="34">
        <v>214</v>
      </c>
      <c r="D1764" s="16">
        <f>E1764/C1764</f>
        <v>530.66528037383171</v>
      </c>
      <c r="E1764" s="19">
        <v>113562.37</v>
      </c>
    </row>
    <row r="1765" spans="1:6" ht="11.25" customHeight="1" x14ac:dyDescent="0.2">
      <c r="A1765" s="8" t="s">
        <v>89</v>
      </c>
      <c r="B1765" s="9" t="s">
        <v>90</v>
      </c>
      <c r="C1765" s="16"/>
      <c r="D1765" s="16"/>
      <c r="E1765" s="19">
        <v>0</v>
      </c>
    </row>
    <row r="1766" spans="1:6" ht="11.25" customHeight="1" x14ac:dyDescent="0.2">
      <c r="A1766" s="8" t="s">
        <v>91</v>
      </c>
      <c r="B1766" s="9" t="s">
        <v>202</v>
      </c>
      <c r="C1766" s="34">
        <v>6</v>
      </c>
      <c r="D1766" s="16">
        <f>E1766/C1766</f>
        <v>2769.5299401998959</v>
      </c>
      <c r="E1766" s="19">
        <f>2826.16*6*1.2*0.81663515754</f>
        <v>16617.179641199375</v>
      </c>
    </row>
    <row r="1767" spans="1:6" ht="11.25" customHeight="1" x14ac:dyDescent="0.2">
      <c r="A1767" s="8" t="s">
        <v>203</v>
      </c>
      <c r="B1767" s="9" t="s">
        <v>92</v>
      </c>
      <c r="C1767" s="16"/>
      <c r="D1767" s="16"/>
      <c r="E1767" s="19">
        <v>0</v>
      </c>
    </row>
    <row r="1768" spans="1:6" ht="15" customHeight="1" x14ac:dyDescent="0.2">
      <c r="A1768" s="5">
        <v>4</v>
      </c>
      <c r="B1768" s="6" t="s">
        <v>193</v>
      </c>
      <c r="C1768" s="16"/>
      <c r="D1768" s="16"/>
      <c r="E1768" s="17">
        <f>ROUND(F1769/1.1*0.1,2)</f>
        <v>333096.19</v>
      </c>
    </row>
    <row r="1769" spans="1:6" ht="18.75" customHeight="1" x14ac:dyDescent="0.2">
      <c r="A1769" s="10"/>
      <c r="B1769" s="11" t="s">
        <v>94</v>
      </c>
      <c r="C1769" s="21"/>
      <c r="D1769" s="21"/>
      <c r="E1769" s="17">
        <f>E1735+E1748+E1756+E1768</f>
        <v>3664058.1116411993</v>
      </c>
      <c r="F1769" s="25">
        <f>E1722*29.04*12</f>
        <v>3664058.1119999997</v>
      </c>
    </row>
    <row r="1770" spans="1:6" ht="15" customHeight="1" x14ac:dyDescent="0.25">
      <c r="A1770" s="10"/>
      <c r="B1770" s="11" t="s">
        <v>199</v>
      </c>
      <c r="C1770" s="21"/>
      <c r="D1770" s="21"/>
      <c r="E1770" s="22">
        <v>29.04</v>
      </c>
    </row>
    <row r="1771" spans="1:6" ht="10.95" customHeight="1" x14ac:dyDescent="0.2"/>
    <row r="1772" spans="1:6" ht="10.95" customHeight="1" x14ac:dyDescent="0.2"/>
    <row r="1773" spans="1:6" ht="10.95" customHeight="1" x14ac:dyDescent="0.2"/>
    <row r="1774" spans="1:6" ht="15" customHeight="1" x14ac:dyDescent="0.25">
      <c r="B1774" s="12" t="s">
        <v>96</v>
      </c>
    </row>
    <row r="1775" spans="1:6" ht="12" customHeight="1" x14ac:dyDescent="0.2"/>
    <row r="1776" spans="1:6" ht="13.2" customHeight="1" x14ac:dyDescent="0.25">
      <c r="B1776" s="3" t="s">
        <v>97</v>
      </c>
    </row>
    <row r="1777" spans="1:5" ht="7.95" customHeight="1" x14ac:dyDescent="0.2"/>
    <row r="1778" spans="1:5" ht="12" customHeight="1" x14ac:dyDescent="0.25">
      <c r="B1778" s="41" t="s">
        <v>100</v>
      </c>
      <c r="C1778" s="41"/>
      <c r="D1778" s="41"/>
      <c r="E1778" s="41"/>
    </row>
    <row r="1779" spans="1:5" ht="10.95" customHeight="1" x14ac:dyDescent="0.2"/>
    <row r="1780" spans="1:5" ht="10.95" customHeight="1" x14ac:dyDescent="0.2"/>
    <row r="1781" spans="1:5" ht="10.95" customHeight="1" x14ac:dyDescent="0.2"/>
    <row r="1782" spans="1:5" ht="16.2" customHeight="1" x14ac:dyDescent="0.2">
      <c r="A1782" s="39" t="s">
        <v>0</v>
      </c>
      <c r="B1782" s="39"/>
      <c r="C1782" s="39"/>
      <c r="D1782" s="39"/>
      <c r="E1782" s="39"/>
    </row>
    <row r="1783" spans="1:5" ht="10.95" customHeight="1" x14ac:dyDescent="0.2">
      <c r="A1783" s="40" t="s">
        <v>1</v>
      </c>
      <c r="B1783" s="40"/>
      <c r="C1783" s="40"/>
      <c r="D1783" s="40"/>
      <c r="E1783" s="40"/>
    </row>
    <row r="1784" spans="1:5" ht="13.2" customHeight="1" x14ac:dyDescent="0.2">
      <c r="A1784" s="40" t="s">
        <v>198</v>
      </c>
      <c r="B1784" s="40"/>
      <c r="C1784" s="40"/>
      <c r="D1784" s="40"/>
      <c r="E1784" s="40"/>
    </row>
    <row r="1785" spans="1:5" ht="10.95" customHeight="1" x14ac:dyDescent="0.2"/>
    <row r="1786" spans="1:5" ht="10.95" customHeight="1" x14ac:dyDescent="0.2">
      <c r="C1786" s="42" t="s">
        <v>3</v>
      </c>
      <c r="D1786" s="42"/>
      <c r="E1786" s="42"/>
    </row>
    <row r="1787" spans="1:5" ht="12" customHeight="1" x14ac:dyDescent="0.2">
      <c r="D1787" s="26" t="s">
        <v>4</v>
      </c>
      <c r="E1787" s="24">
        <v>10632.8</v>
      </c>
    </row>
    <row r="1788" spans="1:5" ht="12" customHeight="1" x14ac:dyDescent="0.2">
      <c r="D1788" s="26" t="s">
        <v>5</v>
      </c>
      <c r="E1788" s="23">
        <v>151.69999999999999</v>
      </c>
    </row>
    <row r="1789" spans="1:5" ht="12" customHeight="1" x14ac:dyDescent="0.2">
      <c r="D1789" s="26" t="s">
        <v>6</v>
      </c>
      <c r="E1789" s="30">
        <v>6</v>
      </c>
    </row>
    <row r="1790" spans="1:5" ht="12" customHeight="1" x14ac:dyDescent="0.2">
      <c r="D1790" s="26" t="s">
        <v>7</v>
      </c>
      <c r="E1790" s="30">
        <v>9</v>
      </c>
    </row>
    <row r="1791" spans="1:5" ht="12" customHeight="1" x14ac:dyDescent="0.2">
      <c r="D1791" s="26" t="s">
        <v>8</v>
      </c>
      <c r="E1791" s="30">
        <v>216</v>
      </c>
    </row>
    <row r="1792" spans="1:5" ht="12" customHeight="1" x14ac:dyDescent="0.2">
      <c r="D1792" s="26" t="s">
        <v>9</v>
      </c>
      <c r="E1792" s="30">
        <v>564</v>
      </c>
    </row>
    <row r="1793" spans="1:6" ht="12" customHeight="1" x14ac:dyDescent="0.2">
      <c r="D1793" s="26" t="s">
        <v>10</v>
      </c>
      <c r="E1793" s="30">
        <v>6</v>
      </c>
    </row>
    <row r="1794" spans="1:6" ht="12" customHeight="1" x14ac:dyDescent="0.2">
      <c r="D1794" s="26" t="s">
        <v>11</v>
      </c>
      <c r="E1794" s="30">
        <v>0</v>
      </c>
    </row>
    <row r="1795" spans="1:6" ht="12" customHeight="1" x14ac:dyDescent="0.2">
      <c r="D1795" s="26" t="s">
        <v>12</v>
      </c>
      <c r="E1795" s="30">
        <v>0</v>
      </c>
    </row>
    <row r="1796" spans="1:6" ht="12" customHeight="1" x14ac:dyDescent="0.2">
      <c r="D1796" s="26" t="s">
        <v>13</v>
      </c>
      <c r="E1796" s="30">
        <v>1095</v>
      </c>
    </row>
    <row r="1797" spans="1:6" ht="12" customHeight="1" x14ac:dyDescent="0.25">
      <c r="A1797" s="2" t="s">
        <v>14</v>
      </c>
      <c r="B1797" s="3" t="s">
        <v>148</v>
      </c>
    </row>
    <row r="1798" spans="1:6" ht="10.95" customHeight="1" x14ac:dyDescent="0.2"/>
    <row r="1799" spans="1:6" ht="45" customHeight="1" x14ac:dyDescent="0.2">
      <c r="A1799" s="4" t="s">
        <v>15</v>
      </c>
      <c r="B1799" s="4" t="s">
        <v>131</v>
      </c>
      <c r="C1799" s="27" t="s">
        <v>17</v>
      </c>
      <c r="D1799" s="27" t="s">
        <v>103</v>
      </c>
      <c r="E1799" s="27" t="s">
        <v>19</v>
      </c>
    </row>
    <row r="1800" spans="1:6" ht="31.5" customHeight="1" x14ac:dyDescent="0.2">
      <c r="A1800" s="5">
        <v>1</v>
      </c>
      <c r="B1800" s="6" t="s">
        <v>190</v>
      </c>
      <c r="C1800" s="16"/>
      <c r="D1800" s="16"/>
      <c r="E1800" s="17">
        <f>E1801+E1808</f>
        <v>1993857.0640000002</v>
      </c>
    </row>
    <row r="1801" spans="1:6" ht="15" customHeight="1" x14ac:dyDescent="0.2">
      <c r="A1801" s="7" t="s">
        <v>21</v>
      </c>
      <c r="B1801" s="6" t="s">
        <v>132</v>
      </c>
      <c r="C1801" s="16"/>
      <c r="D1801" s="16"/>
      <c r="E1801" s="17">
        <f>SUM(E1802:E1807)</f>
        <v>812046.86400000006</v>
      </c>
    </row>
    <row r="1802" spans="1:6" ht="11.25" customHeight="1" x14ac:dyDescent="0.2">
      <c r="A1802" s="15" t="s">
        <v>23</v>
      </c>
      <c r="B1802" s="9" t="s">
        <v>34</v>
      </c>
      <c r="C1802" s="16">
        <v>1.25</v>
      </c>
      <c r="D1802" s="16">
        <v>18781</v>
      </c>
      <c r="E1802" s="19">
        <f>ROUND(C1802*D1802,2)*12</f>
        <v>281715</v>
      </c>
      <c r="F1802" s="20"/>
    </row>
    <row r="1803" spans="1:6" ht="11.25" customHeight="1" x14ac:dyDescent="0.2">
      <c r="A1803" s="8" t="s">
        <v>31</v>
      </c>
      <c r="B1803" s="9" t="s">
        <v>36</v>
      </c>
      <c r="C1803" s="16">
        <v>1.32</v>
      </c>
      <c r="D1803" s="16">
        <v>18781</v>
      </c>
      <c r="E1803" s="19">
        <f>ROUND(C1803*D1803,2)*12</f>
        <v>297491.03999999998</v>
      </c>
    </row>
    <row r="1804" spans="1:6" ht="11.25" customHeight="1" x14ac:dyDescent="0.2">
      <c r="A1804" s="8" t="s">
        <v>121</v>
      </c>
      <c r="B1804" s="9" t="s">
        <v>38</v>
      </c>
      <c r="C1804" s="16">
        <v>30.2</v>
      </c>
      <c r="D1804" s="16">
        <f>E1802</f>
        <v>281715</v>
      </c>
      <c r="E1804" s="19">
        <f>ROUND(C1804*D1804/100,2)</f>
        <v>85077.93</v>
      </c>
    </row>
    <row r="1805" spans="1:6" ht="11.25" customHeight="1" x14ac:dyDescent="0.2">
      <c r="A1805" s="8" t="s">
        <v>186</v>
      </c>
      <c r="B1805" s="9" t="s">
        <v>40</v>
      </c>
      <c r="C1805" s="16">
        <v>30.2</v>
      </c>
      <c r="D1805" s="16">
        <f>E1803</f>
        <v>297491.03999999998</v>
      </c>
      <c r="E1805" s="19">
        <f>ROUND(C1805*D1805/100,2)</f>
        <v>89842.29</v>
      </c>
    </row>
    <row r="1806" spans="1:6" ht="11.25" customHeight="1" x14ac:dyDescent="0.2">
      <c r="A1806" s="8" t="s">
        <v>187</v>
      </c>
      <c r="B1806" s="9" t="s">
        <v>42</v>
      </c>
      <c r="C1806" s="16"/>
      <c r="D1806" s="16"/>
      <c r="E1806" s="19">
        <f>E1802*0.1</f>
        <v>28171.5</v>
      </c>
    </row>
    <row r="1807" spans="1:6" ht="11.25" customHeight="1" x14ac:dyDescent="0.2">
      <c r="A1807" s="8" t="s">
        <v>188</v>
      </c>
      <c r="B1807" s="9" t="s">
        <v>44</v>
      </c>
      <c r="C1807" s="16"/>
      <c r="D1807" s="16"/>
      <c r="E1807" s="19">
        <f>E1803*0.1</f>
        <v>29749.103999999999</v>
      </c>
    </row>
    <row r="1808" spans="1:6" ht="15" customHeight="1" x14ac:dyDescent="0.2">
      <c r="A1808" s="7" t="s">
        <v>45</v>
      </c>
      <c r="B1808" s="6" t="s">
        <v>189</v>
      </c>
      <c r="C1808" s="16"/>
      <c r="D1808" s="16"/>
      <c r="E1808" s="17">
        <f>E1809+E1810+E1811+E1812</f>
        <v>1181810.2000000002</v>
      </c>
    </row>
    <row r="1809" spans="1:6" ht="11.25" customHeight="1" x14ac:dyDescent="0.2">
      <c r="A1809" s="8" t="s">
        <v>47</v>
      </c>
      <c r="B1809" s="9" t="s">
        <v>48</v>
      </c>
      <c r="C1809" s="16">
        <v>2.91</v>
      </c>
      <c r="D1809" s="16">
        <v>18781</v>
      </c>
      <c r="E1809" s="19">
        <f>ROUND(C1809*D1809,2)*12</f>
        <v>655832.52</v>
      </c>
      <c r="F1809" s="20"/>
    </row>
    <row r="1810" spans="1:6" ht="11.25" customHeight="1" x14ac:dyDescent="0.2">
      <c r="A1810" s="8" t="s">
        <v>49</v>
      </c>
      <c r="B1810" s="9" t="s">
        <v>50</v>
      </c>
      <c r="C1810" s="16">
        <v>30.2</v>
      </c>
      <c r="D1810" s="16">
        <f>E1809</f>
        <v>655832.52</v>
      </c>
      <c r="E1810" s="19">
        <f>ROUND(C1810*D1810/100,2)</f>
        <v>198061.42</v>
      </c>
    </row>
    <row r="1811" spans="1:6" ht="11.25" customHeight="1" x14ac:dyDescent="0.2">
      <c r="A1811" s="8" t="s">
        <v>51</v>
      </c>
      <c r="B1811" s="9" t="s">
        <v>52</v>
      </c>
      <c r="C1811" s="16"/>
      <c r="D1811" s="16"/>
      <c r="E1811" s="19">
        <f>E1809*0.4</f>
        <v>262333.00800000003</v>
      </c>
    </row>
    <row r="1812" spans="1:6" ht="11.25" customHeight="1" x14ac:dyDescent="0.2">
      <c r="A1812" s="8" t="s">
        <v>53</v>
      </c>
      <c r="B1812" s="9" t="s">
        <v>54</v>
      </c>
      <c r="C1812" s="16"/>
      <c r="D1812" s="16"/>
      <c r="E1812" s="19">
        <f>E1809*0.1</f>
        <v>65583.252000000008</v>
      </c>
    </row>
    <row r="1813" spans="1:6" ht="20.100000000000001" customHeight="1" x14ac:dyDescent="0.2">
      <c r="A1813" s="5">
        <v>2</v>
      </c>
      <c r="B1813" s="6" t="s">
        <v>57</v>
      </c>
      <c r="C1813" s="16"/>
      <c r="D1813" s="16"/>
      <c r="E1813" s="17">
        <f>E1814+E1816+E1817+E1818+E1819+E1820+E1815</f>
        <v>939923.15</v>
      </c>
    </row>
    <row r="1814" spans="1:6" ht="11.25" customHeight="1" x14ac:dyDescent="0.2">
      <c r="A1814" s="35" t="s">
        <v>58</v>
      </c>
      <c r="B1814" s="9" t="s">
        <v>204</v>
      </c>
      <c r="C1814" s="16">
        <v>817.8</v>
      </c>
      <c r="D1814" s="16">
        <f>E1814/C1814</f>
        <v>177.97000489117144</v>
      </c>
      <c r="E1814" s="19">
        <v>145543.87</v>
      </c>
    </row>
    <row r="1815" spans="1:6" ht="11.25" customHeight="1" x14ac:dyDescent="0.2">
      <c r="A1815" s="35" t="s">
        <v>60</v>
      </c>
      <c r="B1815" s="9" t="s">
        <v>195</v>
      </c>
      <c r="C1815" s="16">
        <v>817.8</v>
      </c>
      <c r="D1815" s="16">
        <f>E1815/C1815</f>
        <v>219.63343115676207</v>
      </c>
      <c r="E1815" s="19">
        <v>179616.22</v>
      </c>
    </row>
    <row r="1816" spans="1:6" ht="11.25" customHeight="1" x14ac:dyDescent="0.2">
      <c r="A1816" s="35" t="s">
        <v>62</v>
      </c>
      <c r="B1816" s="9" t="s">
        <v>196</v>
      </c>
      <c r="C1816" s="16">
        <v>259.39999999999998</v>
      </c>
      <c r="D1816" s="16">
        <f>E1816/C1816</f>
        <v>848.53207401696227</v>
      </c>
      <c r="E1816" s="19">
        <v>220109.22</v>
      </c>
    </row>
    <row r="1817" spans="1:6" ht="11.25" customHeight="1" x14ac:dyDescent="0.2">
      <c r="A1817" s="35" t="s">
        <v>64</v>
      </c>
      <c r="B1817" s="9" t="s">
        <v>63</v>
      </c>
      <c r="C1817" s="16">
        <f>E1817/D1817</f>
        <v>41748.310786106034</v>
      </c>
      <c r="D1817" s="16">
        <v>5.47</v>
      </c>
      <c r="E1817" s="19">
        <f>207860+20503.26</f>
        <v>228363.26</v>
      </c>
    </row>
    <row r="1818" spans="1:6" ht="11.25" customHeight="1" x14ac:dyDescent="0.2">
      <c r="A1818" s="35" t="s">
        <v>66</v>
      </c>
      <c r="B1818" s="9" t="s">
        <v>65</v>
      </c>
      <c r="C1818" s="16">
        <f>E1818/D1818</f>
        <v>1981.9475847893116</v>
      </c>
      <c r="D1818" s="16">
        <v>68.11</v>
      </c>
      <c r="E1818" s="19">
        <f>114189.75+20800.7</f>
        <v>134990.45000000001</v>
      </c>
    </row>
    <row r="1819" spans="1:6" ht="11.25" customHeight="1" x14ac:dyDescent="0.2">
      <c r="A1819" s="35" t="s">
        <v>68</v>
      </c>
      <c r="B1819" s="9" t="s">
        <v>69</v>
      </c>
      <c r="C1819" s="16">
        <v>1371.6</v>
      </c>
      <c r="D1819" s="16">
        <f>E1819/C1819</f>
        <v>3.35</v>
      </c>
      <c r="E1819" s="19">
        <v>4594.8599999999997</v>
      </c>
    </row>
    <row r="1820" spans="1:6" ht="11.25" customHeight="1" x14ac:dyDescent="0.2">
      <c r="A1820" s="35" t="s">
        <v>70</v>
      </c>
      <c r="B1820" s="9" t="s">
        <v>71</v>
      </c>
      <c r="C1820" s="16">
        <v>142.02000000000001</v>
      </c>
      <c r="D1820" s="16">
        <f>E1820/C1820</f>
        <v>188.03879735248555</v>
      </c>
      <c r="E1820" s="19">
        <v>26705.27</v>
      </c>
    </row>
    <row r="1821" spans="1:6" ht="20.100000000000001" customHeight="1" x14ac:dyDescent="0.2">
      <c r="A1821" s="5">
        <v>3</v>
      </c>
      <c r="B1821" s="6" t="s">
        <v>72</v>
      </c>
      <c r="C1821" s="16"/>
      <c r="D1821" s="16"/>
      <c r="E1821" s="17">
        <f>E1822+E1823+E1824+E1825+E1826+E1827+E1828+E1829+E1830+E1832+E1831</f>
        <v>434690.82576079963</v>
      </c>
    </row>
    <row r="1822" spans="1:6" ht="11.25" customHeight="1" x14ac:dyDescent="0.2">
      <c r="A1822" s="8" t="s">
        <v>73</v>
      </c>
      <c r="B1822" s="9" t="s">
        <v>74</v>
      </c>
      <c r="C1822" s="34">
        <v>6</v>
      </c>
      <c r="D1822" s="16">
        <f>E1822/C1822/12</f>
        <v>2935.2959722222222</v>
      </c>
      <c r="E1822" s="19">
        <v>211341.31</v>
      </c>
    </row>
    <row r="1823" spans="1:6" ht="11.25" customHeight="1" x14ac:dyDescent="0.2">
      <c r="A1823" s="8" t="s">
        <v>75</v>
      </c>
      <c r="B1823" s="9" t="s">
        <v>76</v>
      </c>
      <c r="C1823" s="16"/>
      <c r="D1823" s="16"/>
      <c r="E1823" s="19">
        <v>0</v>
      </c>
    </row>
    <row r="1824" spans="1:6" ht="11.25" customHeight="1" x14ac:dyDescent="0.2">
      <c r="A1824" s="8" t="s">
        <v>77</v>
      </c>
      <c r="B1824" s="9" t="s">
        <v>78</v>
      </c>
      <c r="C1824" s="16"/>
      <c r="D1824" s="16"/>
      <c r="E1824" s="19">
        <v>0</v>
      </c>
    </row>
    <row r="1825" spans="1:6" ht="11.25" customHeight="1" x14ac:dyDescent="0.2">
      <c r="A1825" s="8" t="s">
        <v>79</v>
      </c>
      <c r="B1825" s="9" t="s">
        <v>80</v>
      </c>
      <c r="C1825" s="16">
        <v>10632.8</v>
      </c>
      <c r="D1825" s="16">
        <f>E1825/C1825</f>
        <v>4.2092788353020838</v>
      </c>
      <c r="E1825" s="19">
        <v>44756.42</v>
      </c>
    </row>
    <row r="1826" spans="1:6" ht="11.25" customHeight="1" x14ac:dyDescent="0.2">
      <c r="A1826" s="8" t="s">
        <v>81</v>
      </c>
      <c r="B1826" s="9" t="s">
        <v>82</v>
      </c>
      <c r="C1826" s="34">
        <v>432</v>
      </c>
      <c r="D1826" s="16">
        <f>E1826/C1826</f>
        <v>71.676481481481488</v>
      </c>
      <c r="E1826" s="19">
        <v>30964.240000000002</v>
      </c>
    </row>
    <row r="1827" spans="1:6" ht="11.25" customHeight="1" x14ac:dyDescent="0.2">
      <c r="A1827" s="8" t="s">
        <v>83</v>
      </c>
      <c r="B1827" s="9" t="s">
        <v>194</v>
      </c>
      <c r="C1827" s="34">
        <v>216</v>
      </c>
      <c r="D1827" s="16">
        <f>E1827/C1827</f>
        <v>86.38671296296296</v>
      </c>
      <c r="E1827" s="19">
        <v>18659.53</v>
      </c>
    </row>
    <row r="1828" spans="1:6" ht="11.25" customHeight="1" x14ac:dyDescent="0.2">
      <c r="A1828" s="8" t="s">
        <v>85</v>
      </c>
      <c r="B1828" s="9" t="s">
        <v>86</v>
      </c>
      <c r="C1828" s="34"/>
      <c r="D1828" s="16"/>
      <c r="E1828" s="19">
        <v>0</v>
      </c>
    </row>
    <row r="1829" spans="1:6" ht="11.25" customHeight="1" x14ac:dyDescent="0.2">
      <c r="A1829" s="8" t="s">
        <v>87</v>
      </c>
      <c r="B1829" s="9" t="s">
        <v>88</v>
      </c>
      <c r="C1829" s="34">
        <v>215</v>
      </c>
      <c r="D1829" s="16">
        <f>E1829/C1829</f>
        <v>528.53911627906973</v>
      </c>
      <c r="E1829" s="19">
        <v>113635.91</v>
      </c>
    </row>
    <row r="1830" spans="1:6" ht="11.25" customHeight="1" x14ac:dyDescent="0.2">
      <c r="A1830" s="8" t="s">
        <v>89</v>
      </c>
      <c r="B1830" s="9" t="s">
        <v>90</v>
      </c>
      <c r="C1830" s="16"/>
      <c r="D1830" s="16"/>
      <c r="E1830" s="19">
        <v>0</v>
      </c>
    </row>
    <row r="1831" spans="1:6" ht="11.25" customHeight="1" x14ac:dyDescent="0.2">
      <c r="A1831" s="8" t="s">
        <v>91</v>
      </c>
      <c r="B1831" s="9" t="s">
        <v>202</v>
      </c>
      <c r="C1831" s="34">
        <v>6</v>
      </c>
      <c r="D1831" s="16">
        <f>E1831/C1831</f>
        <v>2555.5692934665967</v>
      </c>
      <c r="E1831" s="19">
        <f>1773.04*2*1.2+2826.16*4*1.2*0.81663515754</f>
        <v>15333.41576079958</v>
      </c>
    </row>
    <row r="1832" spans="1:6" ht="11.25" customHeight="1" x14ac:dyDescent="0.2">
      <c r="A1832" s="8" t="s">
        <v>203</v>
      </c>
      <c r="B1832" s="9" t="s">
        <v>92</v>
      </c>
      <c r="C1832" s="16"/>
      <c r="D1832" s="16"/>
      <c r="E1832" s="19">
        <v>0</v>
      </c>
    </row>
    <row r="1833" spans="1:6" ht="15" customHeight="1" x14ac:dyDescent="0.2">
      <c r="A1833" s="5">
        <v>4</v>
      </c>
      <c r="B1833" s="6" t="s">
        <v>193</v>
      </c>
      <c r="C1833" s="16"/>
      <c r="D1833" s="16"/>
      <c r="E1833" s="17">
        <f>F1834/1.1*0.1</f>
        <v>336847.10399999999</v>
      </c>
    </row>
    <row r="1834" spans="1:6" ht="18.75" customHeight="1" x14ac:dyDescent="0.2">
      <c r="A1834" s="10"/>
      <c r="B1834" s="11" t="s">
        <v>94</v>
      </c>
      <c r="C1834" s="21"/>
      <c r="D1834" s="21"/>
      <c r="E1834" s="17">
        <f>E1800+E1813+E1821+E1833</f>
        <v>3705318.1437607994</v>
      </c>
      <c r="F1834" s="25">
        <f>E1787*29.04*12</f>
        <v>3705318.1439999999</v>
      </c>
    </row>
    <row r="1835" spans="1:6" ht="15" customHeight="1" x14ac:dyDescent="0.25">
      <c r="A1835" s="10"/>
      <c r="B1835" s="11" t="s">
        <v>199</v>
      </c>
      <c r="C1835" s="21"/>
      <c r="D1835" s="21"/>
      <c r="E1835" s="22">
        <v>29.04</v>
      </c>
    </row>
    <row r="1836" spans="1:6" ht="10.95" customHeight="1" x14ac:dyDescent="0.2"/>
    <row r="1837" spans="1:6" ht="10.95" customHeight="1" x14ac:dyDescent="0.2"/>
    <row r="1838" spans="1:6" ht="10.95" customHeight="1" x14ac:dyDescent="0.2"/>
    <row r="1839" spans="1:6" ht="15" customHeight="1" x14ac:dyDescent="0.25">
      <c r="B1839" s="12" t="s">
        <v>96</v>
      </c>
    </row>
    <row r="1840" spans="1:6" ht="12" customHeight="1" x14ac:dyDescent="0.2"/>
    <row r="1841" spans="1:5" ht="13.2" customHeight="1" x14ac:dyDescent="0.25">
      <c r="B1841" s="3" t="s">
        <v>97</v>
      </c>
    </row>
    <row r="1842" spans="1:5" ht="7.95" customHeight="1" x14ac:dyDescent="0.2"/>
    <row r="1843" spans="1:5" ht="12" customHeight="1" x14ac:dyDescent="0.25">
      <c r="B1843" s="41" t="s">
        <v>100</v>
      </c>
      <c r="C1843" s="41"/>
      <c r="D1843" s="41"/>
      <c r="E1843" s="41"/>
    </row>
    <row r="1844" spans="1:5" ht="10.95" customHeight="1" x14ac:dyDescent="0.2"/>
    <row r="1845" spans="1:5" ht="10.95" customHeight="1" x14ac:dyDescent="0.2"/>
    <row r="1846" spans="1:5" ht="10.95" customHeight="1" x14ac:dyDescent="0.2"/>
    <row r="1847" spans="1:5" ht="16.2" customHeight="1" x14ac:dyDescent="0.2">
      <c r="A1847" s="39" t="s">
        <v>0</v>
      </c>
      <c r="B1847" s="39"/>
      <c r="C1847" s="39"/>
      <c r="D1847" s="39"/>
      <c r="E1847" s="39"/>
    </row>
    <row r="1848" spans="1:5" ht="10.95" customHeight="1" x14ac:dyDescent="0.2">
      <c r="A1848" s="40" t="s">
        <v>1</v>
      </c>
      <c r="B1848" s="40"/>
      <c r="C1848" s="40"/>
      <c r="D1848" s="40"/>
      <c r="E1848" s="40"/>
    </row>
    <row r="1849" spans="1:5" ht="13.2" customHeight="1" x14ac:dyDescent="0.2">
      <c r="A1849" s="40" t="s">
        <v>198</v>
      </c>
      <c r="B1849" s="40"/>
      <c r="C1849" s="40"/>
      <c r="D1849" s="40"/>
      <c r="E1849" s="40"/>
    </row>
    <row r="1850" spans="1:5" ht="10.95" customHeight="1" x14ac:dyDescent="0.2"/>
    <row r="1851" spans="1:5" ht="10.95" customHeight="1" x14ac:dyDescent="0.2">
      <c r="C1851" s="42" t="s">
        <v>3</v>
      </c>
      <c r="D1851" s="42"/>
      <c r="E1851" s="42"/>
    </row>
    <row r="1852" spans="1:5" ht="12" customHeight="1" x14ac:dyDescent="0.2">
      <c r="D1852" s="26" t="s">
        <v>4</v>
      </c>
      <c r="E1852" s="24">
        <v>7133</v>
      </c>
    </row>
    <row r="1853" spans="1:5" ht="12" customHeight="1" x14ac:dyDescent="0.2">
      <c r="D1853" s="26" t="s">
        <v>5</v>
      </c>
      <c r="E1853" s="23">
        <v>235.9</v>
      </c>
    </row>
    <row r="1854" spans="1:5" ht="12" customHeight="1" x14ac:dyDescent="0.2">
      <c r="D1854" s="26" t="s">
        <v>6</v>
      </c>
      <c r="E1854" s="30">
        <v>4</v>
      </c>
    </row>
    <row r="1855" spans="1:5" ht="12" customHeight="1" x14ac:dyDescent="0.2">
      <c r="D1855" s="26" t="s">
        <v>7</v>
      </c>
      <c r="E1855" s="30">
        <v>9</v>
      </c>
    </row>
    <row r="1856" spans="1:5" ht="12" customHeight="1" x14ac:dyDescent="0.2">
      <c r="D1856" s="26" t="s">
        <v>8</v>
      </c>
      <c r="E1856" s="30">
        <v>139</v>
      </c>
    </row>
    <row r="1857" spans="1:6" ht="12" customHeight="1" x14ac:dyDescent="0.2">
      <c r="D1857" s="26" t="s">
        <v>9</v>
      </c>
      <c r="E1857" s="30">
        <v>410</v>
      </c>
    </row>
    <row r="1858" spans="1:6" ht="12" customHeight="1" x14ac:dyDescent="0.2">
      <c r="D1858" s="26" t="s">
        <v>10</v>
      </c>
      <c r="E1858" s="30">
        <v>4</v>
      </c>
    </row>
    <row r="1859" spans="1:6" ht="12" customHeight="1" x14ac:dyDescent="0.2">
      <c r="D1859" s="26" t="s">
        <v>11</v>
      </c>
      <c r="E1859" s="30">
        <v>0</v>
      </c>
    </row>
    <row r="1860" spans="1:6" ht="12" customHeight="1" x14ac:dyDescent="0.2">
      <c r="D1860" s="26" t="s">
        <v>12</v>
      </c>
      <c r="E1860" s="30">
        <v>0</v>
      </c>
    </row>
    <row r="1861" spans="1:6" ht="12" customHeight="1" x14ac:dyDescent="0.2">
      <c r="D1861" s="26" t="s">
        <v>13</v>
      </c>
      <c r="E1861" s="30">
        <v>906</v>
      </c>
    </row>
    <row r="1862" spans="1:6" ht="12" customHeight="1" x14ac:dyDescent="0.25">
      <c r="A1862" s="2" t="s">
        <v>14</v>
      </c>
      <c r="B1862" s="3" t="s">
        <v>149</v>
      </c>
    </row>
    <row r="1863" spans="1:6" ht="10.95" customHeight="1" x14ac:dyDescent="0.2"/>
    <row r="1864" spans="1:6" ht="45" customHeight="1" x14ac:dyDescent="0.2">
      <c r="A1864" s="4" t="s">
        <v>15</v>
      </c>
      <c r="B1864" s="4" t="s">
        <v>131</v>
      </c>
      <c r="C1864" s="27" t="s">
        <v>17</v>
      </c>
      <c r="D1864" s="27" t="s">
        <v>103</v>
      </c>
      <c r="E1864" s="27" t="s">
        <v>19</v>
      </c>
    </row>
    <row r="1865" spans="1:6" ht="31.5" customHeight="1" x14ac:dyDescent="0.2">
      <c r="A1865" s="5">
        <v>1</v>
      </c>
      <c r="B1865" s="6" t="s">
        <v>190</v>
      </c>
      <c r="C1865" s="16"/>
      <c r="D1865" s="16"/>
      <c r="E1865" s="17">
        <f>E1866+E1873</f>
        <v>1350987.9440000001</v>
      </c>
    </row>
    <row r="1866" spans="1:6" ht="15" customHeight="1" x14ac:dyDescent="0.2">
      <c r="A1866" s="7" t="s">
        <v>21</v>
      </c>
      <c r="B1866" s="6" t="s">
        <v>132</v>
      </c>
      <c r="C1866" s="16"/>
      <c r="D1866" s="16"/>
      <c r="E1866" s="17">
        <f>SUM(E1867:E1872)</f>
        <v>606358.85400000017</v>
      </c>
    </row>
    <row r="1867" spans="1:6" ht="11.25" customHeight="1" x14ac:dyDescent="0.2">
      <c r="A1867" s="15" t="s">
        <v>23</v>
      </c>
      <c r="B1867" s="9" t="s">
        <v>34</v>
      </c>
      <c r="C1867" s="16">
        <v>1.03</v>
      </c>
      <c r="D1867" s="16">
        <v>18781</v>
      </c>
      <c r="E1867" s="19">
        <f>ROUND(C1867*D1867,2)*12</f>
        <v>232133.16</v>
      </c>
      <c r="F1867" s="20"/>
    </row>
    <row r="1868" spans="1:6" ht="11.25" customHeight="1" x14ac:dyDescent="0.2">
      <c r="A1868" s="8" t="s">
        <v>31</v>
      </c>
      <c r="B1868" s="9" t="s">
        <v>36</v>
      </c>
      <c r="C1868" s="16">
        <v>0.96</v>
      </c>
      <c r="D1868" s="16">
        <v>18781</v>
      </c>
      <c r="E1868" s="19">
        <f>ROUND(C1868*D1868,2)*12</f>
        <v>216357.12</v>
      </c>
    </row>
    <row r="1869" spans="1:6" ht="11.25" customHeight="1" x14ac:dyDescent="0.2">
      <c r="A1869" s="8" t="s">
        <v>121</v>
      </c>
      <c r="B1869" s="9" t="s">
        <v>38</v>
      </c>
      <c r="C1869" s="16">
        <v>30.2</v>
      </c>
      <c r="D1869" s="16">
        <f>E1867</f>
        <v>232133.16</v>
      </c>
      <c r="E1869" s="19">
        <f>ROUND(C1869*D1869/100,2)</f>
        <v>70104.210000000006</v>
      </c>
    </row>
    <row r="1870" spans="1:6" ht="11.25" customHeight="1" x14ac:dyDescent="0.2">
      <c r="A1870" s="8" t="s">
        <v>186</v>
      </c>
      <c r="B1870" s="9" t="s">
        <v>40</v>
      </c>
      <c r="C1870" s="16">
        <v>30.2</v>
      </c>
      <c r="D1870" s="16">
        <f>E1868</f>
        <v>216357.12</v>
      </c>
      <c r="E1870" s="19">
        <f>ROUND(C1870*D1870/100,2)</f>
        <v>65339.85</v>
      </c>
    </row>
    <row r="1871" spans="1:6" ht="11.25" customHeight="1" x14ac:dyDescent="0.2">
      <c r="A1871" s="8" t="s">
        <v>187</v>
      </c>
      <c r="B1871" s="9" t="s">
        <v>42</v>
      </c>
      <c r="C1871" s="16"/>
      <c r="D1871" s="16"/>
      <c r="E1871" s="19">
        <f>E1867*0.05</f>
        <v>11606.658000000001</v>
      </c>
    </row>
    <row r="1872" spans="1:6" ht="11.25" customHeight="1" x14ac:dyDescent="0.2">
      <c r="A1872" s="8" t="s">
        <v>188</v>
      </c>
      <c r="B1872" s="9" t="s">
        <v>44</v>
      </c>
      <c r="C1872" s="16"/>
      <c r="D1872" s="16"/>
      <c r="E1872" s="19">
        <f>E1868*0.05</f>
        <v>10817.856</v>
      </c>
    </row>
    <row r="1873" spans="1:6" ht="15" customHeight="1" x14ac:dyDescent="0.2">
      <c r="A1873" s="7" t="s">
        <v>45</v>
      </c>
      <c r="B1873" s="6" t="s">
        <v>189</v>
      </c>
      <c r="C1873" s="16"/>
      <c r="D1873" s="16"/>
      <c r="E1873" s="17">
        <f>E1874+E1875+E1876+E1877</f>
        <v>744629.08999999985</v>
      </c>
    </row>
    <row r="1874" spans="1:6" ht="11.25" customHeight="1" x14ac:dyDescent="0.2">
      <c r="A1874" s="8" t="s">
        <v>47</v>
      </c>
      <c r="B1874" s="9" t="s">
        <v>48</v>
      </c>
      <c r="C1874" s="16">
        <v>2</v>
      </c>
      <c r="D1874" s="16">
        <v>18781</v>
      </c>
      <c r="E1874" s="19">
        <f>ROUND(C1874*D1874,2)*12</f>
        <v>450744</v>
      </c>
      <c r="F1874" s="20"/>
    </row>
    <row r="1875" spans="1:6" ht="11.25" customHeight="1" x14ac:dyDescent="0.2">
      <c r="A1875" s="8" t="s">
        <v>49</v>
      </c>
      <c r="B1875" s="9" t="s">
        <v>50</v>
      </c>
      <c r="C1875" s="16">
        <v>30.2</v>
      </c>
      <c r="D1875" s="16">
        <f>E1874</f>
        <v>450744</v>
      </c>
      <c r="E1875" s="19">
        <f>ROUND(C1875*D1875/100,2)</f>
        <v>136124.69</v>
      </c>
    </row>
    <row r="1876" spans="1:6" ht="11.25" customHeight="1" x14ac:dyDescent="0.2">
      <c r="A1876" s="8" t="s">
        <v>51</v>
      </c>
      <c r="B1876" s="9" t="s">
        <v>52</v>
      </c>
      <c r="C1876" s="16"/>
      <c r="D1876" s="16"/>
      <c r="E1876" s="19">
        <f>E1874*0.3</f>
        <v>135223.19999999998</v>
      </c>
    </row>
    <row r="1877" spans="1:6" ht="11.25" customHeight="1" x14ac:dyDescent="0.2">
      <c r="A1877" s="8" t="s">
        <v>53</v>
      </c>
      <c r="B1877" s="9" t="s">
        <v>54</v>
      </c>
      <c r="C1877" s="16"/>
      <c r="D1877" s="16"/>
      <c r="E1877" s="19">
        <f>E1874*0.05</f>
        <v>22537.200000000001</v>
      </c>
    </row>
    <row r="1878" spans="1:6" ht="20.100000000000001" customHeight="1" x14ac:dyDescent="0.2">
      <c r="A1878" s="5">
        <v>2</v>
      </c>
      <c r="B1878" s="6" t="s">
        <v>57</v>
      </c>
      <c r="C1878" s="16"/>
      <c r="D1878" s="16"/>
      <c r="E1878" s="17">
        <f>E1879+E1881+E1882+E1883+E1884+E1885+E1880</f>
        <v>642763.73</v>
      </c>
    </row>
    <row r="1879" spans="1:6" ht="11.25" customHeight="1" x14ac:dyDescent="0.2">
      <c r="A1879" s="35" t="s">
        <v>58</v>
      </c>
      <c r="B1879" s="9" t="s">
        <v>204</v>
      </c>
      <c r="C1879" s="16">
        <v>594.5</v>
      </c>
      <c r="D1879" s="16">
        <f>E1879/C1879</f>
        <v>177.97000841042893</v>
      </c>
      <c r="E1879" s="19">
        <v>105803.17</v>
      </c>
    </row>
    <row r="1880" spans="1:6" ht="11.25" customHeight="1" x14ac:dyDescent="0.2">
      <c r="A1880" s="35" t="s">
        <v>60</v>
      </c>
      <c r="B1880" s="9" t="s">
        <v>195</v>
      </c>
      <c r="C1880" s="16">
        <v>594.5</v>
      </c>
      <c r="D1880" s="16">
        <f>E1880/C1880</f>
        <v>219.63343986543313</v>
      </c>
      <c r="E1880" s="19">
        <v>130572.08</v>
      </c>
    </row>
    <row r="1881" spans="1:6" ht="11.25" customHeight="1" x14ac:dyDescent="0.2">
      <c r="A1881" s="35" t="s">
        <v>62</v>
      </c>
      <c r="B1881" s="9" t="s">
        <v>196</v>
      </c>
      <c r="C1881" s="16">
        <v>188.6</v>
      </c>
      <c r="D1881" s="16">
        <f>E1881/C1881</f>
        <v>848.40127253446451</v>
      </c>
      <c r="E1881" s="19">
        <v>160008.48000000001</v>
      </c>
    </row>
    <row r="1882" spans="1:6" ht="11.25" customHeight="1" x14ac:dyDescent="0.2">
      <c r="A1882" s="35" t="s">
        <v>64</v>
      </c>
      <c r="B1882" s="9" t="s">
        <v>63</v>
      </c>
      <c r="C1882" s="16">
        <f>E1882/D1882</f>
        <v>31028.09323583181</v>
      </c>
      <c r="D1882" s="16">
        <v>5.47</v>
      </c>
      <c r="E1882" s="19">
        <f>191450-21726.33</f>
        <v>169723.66999999998</v>
      </c>
    </row>
    <row r="1883" spans="1:6" ht="11.25" customHeight="1" x14ac:dyDescent="0.2">
      <c r="A1883" s="35" t="s">
        <v>66</v>
      </c>
      <c r="B1883" s="9" t="s">
        <v>65</v>
      </c>
      <c r="C1883" s="16">
        <f>E1883/D1883</f>
        <v>1070.3516370577006</v>
      </c>
      <c r="D1883" s="16">
        <v>68.11</v>
      </c>
      <c r="E1883" s="19">
        <f>59336.28+13565.37</f>
        <v>72901.649999999994</v>
      </c>
    </row>
    <row r="1884" spans="1:6" ht="11.25" customHeight="1" x14ac:dyDescent="0.2">
      <c r="A1884" s="35" t="s">
        <v>68</v>
      </c>
      <c r="B1884" s="9" t="s">
        <v>69</v>
      </c>
      <c r="C1884" s="16">
        <v>1120.8</v>
      </c>
      <c r="D1884" s="16">
        <f>E1884/C1884</f>
        <v>3.35</v>
      </c>
      <c r="E1884" s="19">
        <v>3754.68</v>
      </c>
    </row>
    <row r="1885" spans="1:6" ht="11.25" customHeight="1" x14ac:dyDescent="0.2">
      <c r="A1885" s="35" t="s">
        <v>70</v>
      </c>
      <c r="B1885" s="9" t="s">
        <v>71</v>
      </c>
      <c r="C1885" s="16"/>
      <c r="D1885" s="16"/>
      <c r="E1885" s="19">
        <v>0</v>
      </c>
    </row>
    <row r="1886" spans="1:6" ht="20.100000000000001" customHeight="1" x14ac:dyDescent="0.2">
      <c r="A1886" s="5">
        <v>3</v>
      </c>
      <c r="B1886" s="6" t="s">
        <v>72</v>
      </c>
      <c r="C1886" s="16"/>
      <c r="D1886" s="16"/>
      <c r="E1886" s="17">
        <f>E1887+E1888+E1889+E1890+E1891+E1892+E1893+E1894+E1895+E1897+E1896</f>
        <v>307829.65976079961</v>
      </c>
    </row>
    <row r="1887" spans="1:6" ht="11.25" customHeight="1" x14ac:dyDescent="0.2">
      <c r="A1887" s="8" t="s">
        <v>73</v>
      </c>
      <c r="B1887" s="9" t="s">
        <v>74</v>
      </c>
      <c r="C1887" s="34">
        <v>4</v>
      </c>
      <c r="D1887" s="16">
        <f>E1887/C1887/12</f>
        <v>3192.7320833333338</v>
      </c>
      <c r="E1887" s="19">
        <v>153251.14000000001</v>
      </c>
    </row>
    <row r="1888" spans="1:6" ht="11.25" customHeight="1" x14ac:dyDescent="0.2">
      <c r="A1888" s="8" t="s">
        <v>75</v>
      </c>
      <c r="B1888" s="9" t="s">
        <v>76</v>
      </c>
      <c r="C1888" s="16"/>
      <c r="D1888" s="16"/>
      <c r="E1888" s="19">
        <v>0</v>
      </c>
    </row>
    <row r="1889" spans="1:6" ht="11.25" customHeight="1" x14ac:dyDescent="0.2">
      <c r="A1889" s="8" t="s">
        <v>77</v>
      </c>
      <c r="B1889" s="9" t="s">
        <v>78</v>
      </c>
      <c r="C1889" s="16"/>
      <c r="D1889" s="16"/>
      <c r="E1889" s="19">
        <v>0</v>
      </c>
    </row>
    <row r="1890" spans="1:6" ht="11.25" customHeight="1" x14ac:dyDescent="0.2">
      <c r="A1890" s="8" t="s">
        <v>79</v>
      </c>
      <c r="B1890" s="9" t="s">
        <v>80</v>
      </c>
      <c r="C1890" s="16">
        <v>7133</v>
      </c>
      <c r="D1890" s="16">
        <f>E1890/C1890</f>
        <v>4.2873195009112575</v>
      </c>
      <c r="E1890" s="19">
        <v>30581.45</v>
      </c>
    </row>
    <row r="1891" spans="1:6" ht="11.25" customHeight="1" x14ac:dyDescent="0.2">
      <c r="A1891" s="8" t="s">
        <v>81</v>
      </c>
      <c r="B1891" s="9" t="s">
        <v>82</v>
      </c>
      <c r="C1891" s="34">
        <v>278</v>
      </c>
      <c r="D1891" s="16">
        <f>E1891/C1891</f>
        <v>71.913417266187054</v>
      </c>
      <c r="E1891" s="19">
        <v>19991.93</v>
      </c>
    </row>
    <row r="1892" spans="1:6" ht="11.25" customHeight="1" x14ac:dyDescent="0.2">
      <c r="A1892" s="8" t="s">
        <v>83</v>
      </c>
      <c r="B1892" s="9" t="s">
        <v>194</v>
      </c>
      <c r="C1892" s="34">
        <v>139</v>
      </c>
      <c r="D1892" s="16">
        <f>E1892/C1892</f>
        <v>87.313669064748197</v>
      </c>
      <c r="E1892" s="19">
        <v>12136.6</v>
      </c>
    </row>
    <row r="1893" spans="1:6" ht="11.25" customHeight="1" x14ac:dyDescent="0.2">
      <c r="A1893" s="8" t="s">
        <v>85</v>
      </c>
      <c r="B1893" s="9" t="s">
        <v>86</v>
      </c>
      <c r="C1893" s="16">
        <v>0.2</v>
      </c>
      <c r="D1893" s="16">
        <f>E1893/C1893</f>
        <v>19206.25</v>
      </c>
      <c r="E1893" s="19">
        <v>3841.25</v>
      </c>
    </row>
    <row r="1894" spans="1:6" ht="11.25" customHeight="1" x14ac:dyDescent="0.2">
      <c r="A1894" s="8" t="s">
        <v>87</v>
      </c>
      <c r="B1894" s="9" t="s">
        <v>88</v>
      </c>
      <c r="C1894" s="34">
        <v>139</v>
      </c>
      <c r="D1894" s="16">
        <f>E1894/C1894</f>
        <v>553.59115107913669</v>
      </c>
      <c r="E1894" s="19">
        <v>76949.17</v>
      </c>
    </row>
    <row r="1895" spans="1:6" ht="11.25" customHeight="1" x14ac:dyDescent="0.2">
      <c r="A1895" s="8" t="s">
        <v>89</v>
      </c>
      <c r="B1895" s="9" t="s">
        <v>90</v>
      </c>
      <c r="C1895" s="16"/>
      <c r="D1895" s="16"/>
      <c r="E1895" s="19">
        <v>0</v>
      </c>
    </row>
    <row r="1896" spans="1:6" ht="11.25" customHeight="1" x14ac:dyDescent="0.2">
      <c r="A1896" s="8" t="s">
        <v>91</v>
      </c>
      <c r="B1896" s="9" t="s">
        <v>202</v>
      </c>
      <c r="C1896" s="34">
        <v>4</v>
      </c>
      <c r="D1896" s="16">
        <f>E1896/C1896</f>
        <v>2769.5299401998955</v>
      </c>
      <c r="E1896" s="19">
        <f>2826.16*4*1.2*0.81663515754</f>
        <v>11078.119760799582</v>
      </c>
    </row>
    <row r="1897" spans="1:6" ht="11.25" customHeight="1" x14ac:dyDescent="0.2">
      <c r="A1897" s="8" t="s">
        <v>203</v>
      </c>
      <c r="B1897" s="9" t="s">
        <v>92</v>
      </c>
      <c r="C1897" s="16"/>
      <c r="D1897" s="16"/>
      <c r="E1897" s="19">
        <v>0</v>
      </c>
    </row>
    <row r="1898" spans="1:6" ht="15" customHeight="1" x14ac:dyDescent="0.2">
      <c r="A1898" s="5">
        <v>4</v>
      </c>
      <c r="B1898" s="6" t="s">
        <v>193</v>
      </c>
      <c r="C1898" s="16"/>
      <c r="D1898" s="16"/>
      <c r="E1898" s="17">
        <f>F1899/1.08*0.08</f>
        <v>184126.50666666665</v>
      </c>
    </row>
    <row r="1899" spans="1:6" ht="18.75" customHeight="1" x14ac:dyDescent="0.2">
      <c r="A1899" s="10"/>
      <c r="B1899" s="11" t="s">
        <v>94</v>
      </c>
      <c r="C1899" s="21"/>
      <c r="D1899" s="21"/>
      <c r="E1899" s="17">
        <f>E1865+E1878+E1886+E1898</f>
        <v>2485707.8404274667</v>
      </c>
      <c r="F1899" s="25">
        <f>E1852*29.04*12</f>
        <v>2485707.84</v>
      </c>
    </row>
    <row r="1900" spans="1:6" ht="15" customHeight="1" x14ac:dyDescent="0.25">
      <c r="A1900" s="10"/>
      <c r="B1900" s="11" t="s">
        <v>199</v>
      </c>
      <c r="C1900" s="21"/>
      <c r="D1900" s="21"/>
      <c r="E1900" s="22">
        <v>29.04</v>
      </c>
    </row>
    <row r="1901" spans="1:6" ht="10.95" customHeight="1" x14ac:dyDescent="0.2"/>
    <row r="1902" spans="1:6" ht="10.95" customHeight="1" x14ac:dyDescent="0.2"/>
    <row r="1903" spans="1:6" ht="10.95" customHeight="1" x14ac:dyDescent="0.2"/>
    <row r="1904" spans="1:6" ht="15" customHeight="1" x14ac:dyDescent="0.25">
      <c r="B1904" s="12" t="s">
        <v>96</v>
      </c>
    </row>
    <row r="1905" spans="1:5" ht="12" customHeight="1" x14ac:dyDescent="0.2"/>
    <row r="1906" spans="1:5" ht="13.2" customHeight="1" x14ac:dyDescent="0.25">
      <c r="B1906" s="3" t="s">
        <v>97</v>
      </c>
    </row>
    <row r="1907" spans="1:5" ht="7.95" customHeight="1" x14ac:dyDescent="0.2"/>
    <row r="1908" spans="1:5" ht="12" customHeight="1" x14ac:dyDescent="0.25">
      <c r="B1908" s="41" t="s">
        <v>100</v>
      </c>
      <c r="C1908" s="41"/>
      <c r="D1908" s="41"/>
      <c r="E1908" s="41"/>
    </row>
    <row r="1909" spans="1:5" ht="10.95" customHeight="1" x14ac:dyDescent="0.2"/>
    <row r="1910" spans="1:5" ht="10.95" customHeight="1" x14ac:dyDescent="0.2"/>
    <row r="1911" spans="1:5" ht="10.95" customHeight="1" x14ac:dyDescent="0.2"/>
    <row r="1912" spans="1:5" ht="16.2" customHeight="1" x14ac:dyDescent="0.2">
      <c r="A1912" s="39" t="s">
        <v>0</v>
      </c>
      <c r="B1912" s="39"/>
      <c r="C1912" s="39"/>
      <c r="D1912" s="39"/>
      <c r="E1912" s="39"/>
    </row>
    <row r="1913" spans="1:5" ht="10.95" customHeight="1" x14ac:dyDescent="0.2">
      <c r="A1913" s="40" t="s">
        <v>1</v>
      </c>
      <c r="B1913" s="40"/>
      <c r="C1913" s="40"/>
      <c r="D1913" s="40"/>
      <c r="E1913" s="40"/>
    </row>
    <row r="1914" spans="1:5" ht="13.2" customHeight="1" x14ac:dyDescent="0.2">
      <c r="A1914" s="40" t="s">
        <v>197</v>
      </c>
      <c r="B1914" s="40"/>
      <c r="C1914" s="40"/>
      <c r="D1914" s="40"/>
      <c r="E1914" s="40"/>
    </row>
    <row r="1915" spans="1:5" ht="10.95" customHeight="1" x14ac:dyDescent="0.2"/>
    <row r="1916" spans="1:5" ht="10.95" customHeight="1" x14ac:dyDescent="0.2">
      <c r="C1916" s="42" t="s">
        <v>3</v>
      </c>
      <c r="D1916" s="42"/>
      <c r="E1916" s="42"/>
    </row>
    <row r="1917" spans="1:5" ht="12" customHeight="1" x14ac:dyDescent="0.2">
      <c r="D1917" s="26" t="s">
        <v>4</v>
      </c>
      <c r="E1917" s="24">
        <v>19766.7</v>
      </c>
    </row>
    <row r="1918" spans="1:5" ht="12" customHeight="1" x14ac:dyDescent="0.2">
      <c r="D1918" s="26" t="s">
        <v>5</v>
      </c>
      <c r="E1918" s="23">
        <v>42.9</v>
      </c>
    </row>
    <row r="1919" spans="1:5" ht="12" customHeight="1" x14ac:dyDescent="0.2">
      <c r="D1919" s="26" t="s">
        <v>6</v>
      </c>
      <c r="E1919" s="30">
        <v>8</v>
      </c>
    </row>
    <row r="1920" spans="1:5" ht="12" customHeight="1" x14ac:dyDescent="0.2">
      <c r="D1920" s="26" t="s">
        <v>7</v>
      </c>
      <c r="E1920" s="30">
        <v>12</v>
      </c>
    </row>
    <row r="1921" spans="1:6" ht="12" customHeight="1" x14ac:dyDescent="0.2">
      <c r="D1921" s="26" t="s">
        <v>8</v>
      </c>
      <c r="E1921" s="30">
        <v>383</v>
      </c>
    </row>
    <row r="1922" spans="1:6" ht="12" customHeight="1" x14ac:dyDescent="0.2">
      <c r="D1922" s="26" t="s">
        <v>9</v>
      </c>
      <c r="E1922" s="30">
        <v>954</v>
      </c>
    </row>
    <row r="1923" spans="1:6" ht="12" customHeight="1" x14ac:dyDescent="0.2">
      <c r="D1923" s="26" t="s">
        <v>10</v>
      </c>
      <c r="E1923" s="30">
        <v>16</v>
      </c>
    </row>
    <row r="1924" spans="1:6" ht="12" customHeight="1" x14ac:dyDescent="0.2">
      <c r="D1924" s="26" t="s">
        <v>11</v>
      </c>
      <c r="E1924" s="30">
        <v>8</v>
      </c>
    </row>
    <row r="1925" spans="1:6" ht="12" customHeight="1" x14ac:dyDescent="0.2">
      <c r="D1925" s="26" t="s">
        <v>12</v>
      </c>
      <c r="E1925" s="30">
        <v>0</v>
      </c>
    </row>
    <row r="1926" spans="1:6" ht="12" customHeight="1" x14ac:dyDescent="0.2">
      <c r="D1926" s="26" t="s">
        <v>13</v>
      </c>
      <c r="E1926" s="30">
        <v>2072</v>
      </c>
    </row>
    <row r="1927" spans="1:6" ht="12" customHeight="1" x14ac:dyDescent="0.25">
      <c r="A1927" s="2" t="s">
        <v>14</v>
      </c>
      <c r="B1927" s="3" t="s">
        <v>150</v>
      </c>
    </row>
    <row r="1928" spans="1:6" ht="10.95" customHeight="1" x14ac:dyDescent="0.2"/>
    <row r="1929" spans="1:6" ht="45" customHeight="1" x14ac:dyDescent="0.2">
      <c r="A1929" s="4" t="s">
        <v>15</v>
      </c>
      <c r="B1929" s="4" t="s">
        <v>131</v>
      </c>
      <c r="C1929" s="27" t="s">
        <v>17</v>
      </c>
      <c r="D1929" s="27" t="s">
        <v>103</v>
      </c>
      <c r="E1929" s="27" t="s">
        <v>19</v>
      </c>
    </row>
    <row r="1930" spans="1:6" ht="31.5" customHeight="1" x14ac:dyDescent="0.2">
      <c r="A1930" s="5">
        <v>1</v>
      </c>
      <c r="B1930" s="6" t="s">
        <v>190</v>
      </c>
      <c r="C1930" s="16"/>
      <c r="D1930" s="16"/>
      <c r="E1930" s="17">
        <f>E1931+E1938</f>
        <v>3481587.2200000007</v>
      </c>
    </row>
    <row r="1931" spans="1:6" ht="15" customHeight="1" x14ac:dyDescent="0.2">
      <c r="A1931" s="7" t="s">
        <v>21</v>
      </c>
      <c r="B1931" s="6" t="s">
        <v>132</v>
      </c>
      <c r="C1931" s="16"/>
      <c r="D1931" s="16"/>
      <c r="E1931" s="17">
        <f>SUM(E1932:E1937)</f>
        <v>1298643.0420000001</v>
      </c>
    </row>
    <row r="1932" spans="1:6" ht="11.25" customHeight="1" x14ac:dyDescent="0.2">
      <c r="A1932" s="15" t="s">
        <v>23</v>
      </c>
      <c r="B1932" s="9" t="s">
        <v>34</v>
      </c>
      <c r="C1932" s="16">
        <v>1.92</v>
      </c>
      <c r="D1932" s="16">
        <v>18781</v>
      </c>
      <c r="E1932" s="19">
        <f>ROUND(C1932*D1932,2)*12</f>
        <v>432714.23999999999</v>
      </c>
      <c r="F1932" s="20"/>
    </row>
    <row r="1933" spans="1:6" ht="11.25" customHeight="1" x14ac:dyDescent="0.2">
      <c r="A1933" s="8" t="s">
        <v>31</v>
      </c>
      <c r="B1933" s="9" t="s">
        <v>36</v>
      </c>
      <c r="C1933" s="16">
        <v>2.19</v>
      </c>
      <c r="D1933" s="16">
        <v>18781</v>
      </c>
      <c r="E1933" s="19">
        <f>ROUND(C1933*D1933,2)*12</f>
        <v>493564.68</v>
      </c>
    </row>
    <row r="1934" spans="1:6" ht="11.25" customHeight="1" x14ac:dyDescent="0.2">
      <c r="A1934" s="8" t="s">
        <v>121</v>
      </c>
      <c r="B1934" s="9" t="s">
        <v>38</v>
      </c>
      <c r="C1934" s="16">
        <v>30.2</v>
      </c>
      <c r="D1934" s="16">
        <f>E1932</f>
        <v>432714.23999999999</v>
      </c>
      <c r="E1934" s="19">
        <f>ROUND(C1934*D1934/100,2)</f>
        <v>130679.7</v>
      </c>
    </row>
    <row r="1935" spans="1:6" ht="11.25" customHeight="1" x14ac:dyDescent="0.2">
      <c r="A1935" s="8" t="s">
        <v>186</v>
      </c>
      <c r="B1935" s="9" t="s">
        <v>40</v>
      </c>
      <c r="C1935" s="16">
        <v>30.2</v>
      </c>
      <c r="D1935" s="16">
        <f>E1933</f>
        <v>493564.68</v>
      </c>
      <c r="E1935" s="19">
        <f>ROUND(C1935*D1935/100,2)</f>
        <v>149056.53</v>
      </c>
    </row>
    <row r="1936" spans="1:6" ht="11.25" customHeight="1" x14ac:dyDescent="0.2">
      <c r="A1936" s="8" t="s">
        <v>187</v>
      </c>
      <c r="B1936" s="9" t="s">
        <v>42</v>
      </c>
      <c r="C1936" s="16"/>
      <c r="D1936" s="16"/>
      <c r="E1936" s="19">
        <f>E1932*0.1</f>
        <v>43271.423999999999</v>
      </c>
    </row>
    <row r="1937" spans="1:6" ht="11.25" customHeight="1" x14ac:dyDescent="0.2">
      <c r="A1937" s="8" t="s">
        <v>188</v>
      </c>
      <c r="B1937" s="9" t="s">
        <v>44</v>
      </c>
      <c r="C1937" s="16"/>
      <c r="D1937" s="16"/>
      <c r="E1937" s="19">
        <f>E1933*0.1</f>
        <v>49356.468000000001</v>
      </c>
    </row>
    <row r="1938" spans="1:6" ht="15" customHeight="1" x14ac:dyDescent="0.2">
      <c r="A1938" s="7" t="s">
        <v>45</v>
      </c>
      <c r="B1938" s="6" t="s">
        <v>189</v>
      </c>
      <c r="C1938" s="16"/>
      <c r="D1938" s="16"/>
      <c r="E1938" s="17">
        <f>E1939+E1940+E1941+E1942</f>
        <v>2182944.1780000003</v>
      </c>
    </row>
    <row r="1939" spans="1:6" ht="11.25" customHeight="1" x14ac:dyDescent="0.2">
      <c r="A1939" s="8" t="s">
        <v>47</v>
      </c>
      <c r="B1939" s="9" t="s">
        <v>48</v>
      </c>
      <c r="C1939" s="16">
        <v>5.23</v>
      </c>
      <c r="D1939" s="16">
        <v>18781</v>
      </c>
      <c r="E1939" s="19">
        <f>ROUND(C1939*D1939,2)*12</f>
        <v>1178695.56</v>
      </c>
      <c r="F1939" s="20"/>
    </row>
    <row r="1940" spans="1:6" ht="11.25" customHeight="1" x14ac:dyDescent="0.2">
      <c r="A1940" s="8" t="s">
        <v>49</v>
      </c>
      <c r="B1940" s="9" t="s">
        <v>50</v>
      </c>
      <c r="C1940" s="16">
        <v>30.2</v>
      </c>
      <c r="D1940" s="16">
        <f>E1939</f>
        <v>1178695.56</v>
      </c>
      <c r="E1940" s="19">
        <f>ROUND(C1940*D1940/100,2)</f>
        <v>355966.06</v>
      </c>
    </row>
    <row r="1941" spans="1:6" ht="11.25" customHeight="1" x14ac:dyDescent="0.2">
      <c r="A1941" s="8" t="s">
        <v>51</v>
      </c>
      <c r="B1941" s="9" t="s">
        <v>52</v>
      </c>
      <c r="C1941" s="16"/>
      <c r="D1941" s="16"/>
      <c r="E1941" s="19">
        <f>E1939*0.45</f>
        <v>530413.00200000009</v>
      </c>
    </row>
    <row r="1942" spans="1:6" ht="11.25" customHeight="1" x14ac:dyDescent="0.2">
      <c r="A1942" s="8" t="s">
        <v>53</v>
      </c>
      <c r="B1942" s="9" t="s">
        <v>54</v>
      </c>
      <c r="C1942" s="16"/>
      <c r="D1942" s="16"/>
      <c r="E1942" s="19">
        <f>E1939*0.1</f>
        <v>117869.55600000001</v>
      </c>
    </row>
    <row r="1943" spans="1:6" ht="20.100000000000001" customHeight="1" x14ac:dyDescent="0.2">
      <c r="A1943" s="5">
        <v>2</v>
      </c>
      <c r="B1943" s="6" t="s">
        <v>57</v>
      </c>
      <c r="C1943" s="16"/>
      <c r="D1943" s="16"/>
      <c r="E1943" s="17">
        <f>E1944+E1946+E1947+E1948+E1949+E1950+E1945</f>
        <v>1541743.19</v>
      </c>
    </row>
    <row r="1944" spans="1:6" ht="11.25" customHeight="1" x14ac:dyDescent="0.2">
      <c r="A1944" s="35" t="s">
        <v>58</v>
      </c>
      <c r="B1944" s="9" t="s">
        <v>204</v>
      </c>
      <c r="C1944" s="16">
        <v>1383.3</v>
      </c>
      <c r="D1944" s="16">
        <f>E1944/C1944</f>
        <v>177.96999927709101</v>
      </c>
      <c r="E1944" s="19">
        <v>246185.9</v>
      </c>
    </row>
    <row r="1945" spans="1:6" ht="11.25" customHeight="1" x14ac:dyDescent="0.2">
      <c r="A1945" s="35" t="s">
        <v>60</v>
      </c>
      <c r="B1945" s="9" t="s">
        <v>195</v>
      </c>
      <c r="C1945" s="16">
        <v>1383.3</v>
      </c>
      <c r="D1945" s="16">
        <f>E1945/C1945</f>
        <v>219.63343454059134</v>
      </c>
      <c r="E1945" s="19">
        <v>303818.93</v>
      </c>
    </row>
    <row r="1946" spans="1:6" ht="11.25" customHeight="1" x14ac:dyDescent="0.2">
      <c r="A1946" s="35" t="s">
        <v>62</v>
      </c>
      <c r="B1946" s="9" t="s">
        <v>196</v>
      </c>
      <c r="C1946" s="16">
        <v>438.84</v>
      </c>
      <c r="D1946" s="16">
        <f>E1946/C1946</f>
        <v>848.40123963175654</v>
      </c>
      <c r="E1946" s="19">
        <v>372312.4</v>
      </c>
    </row>
    <row r="1947" spans="1:6" ht="11.25" customHeight="1" x14ac:dyDescent="0.2">
      <c r="A1947" s="35" t="s">
        <v>64</v>
      </c>
      <c r="B1947" s="9" t="s">
        <v>63</v>
      </c>
      <c r="C1947" s="16">
        <f>E1947/D1947</f>
        <v>73054.606946983535</v>
      </c>
      <c r="D1947" s="16">
        <v>5.47</v>
      </c>
      <c r="E1947" s="19">
        <f>421190-21580.9-0.4</f>
        <v>399608.69999999995</v>
      </c>
    </row>
    <row r="1948" spans="1:6" ht="11.25" customHeight="1" x14ac:dyDescent="0.2">
      <c r="A1948" s="35" t="s">
        <v>66</v>
      </c>
      <c r="B1948" s="9" t="s">
        <v>65</v>
      </c>
      <c r="C1948" s="16">
        <f>E1948/D1948</f>
        <v>2420.9489061811778</v>
      </c>
      <c r="D1948" s="16">
        <v>68.11</v>
      </c>
      <c r="E1948" s="19">
        <f>168759.42-3868.59</f>
        <v>164890.83000000002</v>
      </c>
    </row>
    <row r="1949" spans="1:6" ht="11.25" customHeight="1" x14ac:dyDescent="0.2">
      <c r="A1949" s="35" t="s">
        <v>68</v>
      </c>
      <c r="B1949" s="9" t="s">
        <v>69</v>
      </c>
      <c r="C1949" s="16">
        <v>2224</v>
      </c>
      <c r="D1949" s="16">
        <f>E1949/C1949</f>
        <v>3.3499999999999996</v>
      </c>
      <c r="E1949" s="19">
        <v>7450.4</v>
      </c>
    </row>
    <row r="1950" spans="1:6" ht="11.25" customHeight="1" x14ac:dyDescent="0.2">
      <c r="A1950" s="35" t="s">
        <v>70</v>
      </c>
      <c r="B1950" s="9" t="s">
        <v>71</v>
      </c>
      <c r="C1950" s="16">
        <v>252.48</v>
      </c>
      <c r="D1950" s="16">
        <f>E1950/C1950</f>
        <v>188.03877534854246</v>
      </c>
      <c r="E1950" s="19">
        <v>47476.03</v>
      </c>
    </row>
    <row r="1951" spans="1:6" ht="20.100000000000001" customHeight="1" x14ac:dyDescent="0.2">
      <c r="A1951" s="5">
        <v>3</v>
      </c>
      <c r="B1951" s="6" t="s">
        <v>72</v>
      </c>
      <c r="C1951" s="16"/>
      <c r="D1951" s="16"/>
      <c r="E1951" s="17">
        <f>E1952+E1953+E1954+E1955+E1956+E1957+E1958+E1959+E1960+E1962+E1961</f>
        <v>1238760.1451627985</v>
      </c>
    </row>
    <row r="1952" spans="1:6" ht="11.25" customHeight="1" x14ac:dyDescent="0.2">
      <c r="A1952" s="8" t="s">
        <v>73</v>
      </c>
      <c r="B1952" s="9" t="s">
        <v>74</v>
      </c>
      <c r="C1952" s="34">
        <v>16</v>
      </c>
      <c r="D1952" s="16">
        <f>E1952/C1952/12</f>
        <v>3698.7419791666666</v>
      </c>
      <c r="E1952" s="19">
        <v>710158.46</v>
      </c>
    </row>
    <row r="1953" spans="1:6" ht="11.25" customHeight="1" x14ac:dyDescent="0.2">
      <c r="A1953" s="8" t="s">
        <v>75</v>
      </c>
      <c r="B1953" s="9" t="s">
        <v>76</v>
      </c>
      <c r="C1953" s="34"/>
      <c r="D1953" s="16"/>
      <c r="E1953" s="19">
        <v>0</v>
      </c>
    </row>
    <row r="1954" spans="1:6" ht="11.25" customHeight="1" x14ac:dyDescent="0.2">
      <c r="A1954" s="8" t="s">
        <v>77</v>
      </c>
      <c r="B1954" s="9" t="s">
        <v>78</v>
      </c>
      <c r="C1954" s="34">
        <v>8</v>
      </c>
      <c r="D1954" s="16">
        <f>E1954/C1954/12</f>
        <v>928.83270833333336</v>
      </c>
      <c r="E1954" s="19">
        <v>89167.94</v>
      </c>
    </row>
    <row r="1955" spans="1:6" ht="11.25" customHeight="1" x14ac:dyDescent="0.2">
      <c r="A1955" s="8" t="s">
        <v>79</v>
      </c>
      <c r="B1955" s="9" t="s">
        <v>80</v>
      </c>
      <c r="C1955" s="16">
        <v>19766.7</v>
      </c>
      <c r="D1955" s="16">
        <f>E1955/C1955</f>
        <v>4.1590761229744979</v>
      </c>
      <c r="E1955" s="19">
        <v>82211.210000000006</v>
      </c>
    </row>
    <row r="1956" spans="1:6" ht="11.25" customHeight="1" x14ac:dyDescent="0.2">
      <c r="A1956" s="8" t="s">
        <v>81</v>
      </c>
      <c r="B1956" s="9" t="s">
        <v>82</v>
      </c>
      <c r="C1956" s="34">
        <v>766</v>
      </c>
      <c r="D1956" s="16">
        <f>E1956/C1956</f>
        <v>71.044399477806792</v>
      </c>
      <c r="E1956" s="19">
        <v>54420.01</v>
      </c>
    </row>
    <row r="1957" spans="1:6" ht="11.25" customHeight="1" x14ac:dyDescent="0.2">
      <c r="A1957" s="8" t="s">
        <v>83</v>
      </c>
      <c r="B1957" s="9" t="s">
        <v>194</v>
      </c>
      <c r="C1957" s="34">
        <v>383</v>
      </c>
      <c r="D1957" s="16">
        <f>E1957/C1957</f>
        <v>86.619608355091373</v>
      </c>
      <c r="E1957" s="19">
        <v>33175.31</v>
      </c>
    </row>
    <row r="1958" spans="1:6" ht="11.25" customHeight="1" x14ac:dyDescent="0.2">
      <c r="A1958" s="8" t="s">
        <v>85</v>
      </c>
      <c r="B1958" s="9" t="s">
        <v>86</v>
      </c>
      <c r="C1958" s="34">
        <v>1</v>
      </c>
      <c r="D1958" s="16">
        <f>E1958/C1958</f>
        <v>19219.16</v>
      </c>
      <c r="E1958" s="19">
        <v>19219.16</v>
      </c>
    </row>
    <row r="1959" spans="1:6" ht="11.25" customHeight="1" x14ac:dyDescent="0.2">
      <c r="A1959" s="8" t="s">
        <v>87</v>
      </c>
      <c r="B1959" s="9" t="s">
        <v>88</v>
      </c>
      <c r="C1959" s="34">
        <v>381</v>
      </c>
      <c r="D1959" s="16">
        <f>E1959/C1959</f>
        <v>544.3027296587926</v>
      </c>
      <c r="E1959" s="19">
        <v>207379.34</v>
      </c>
    </row>
    <row r="1960" spans="1:6" ht="11.25" customHeight="1" x14ac:dyDescent="0.2">
      <c r="A1960" s="8" t="s">
        <v>89</v>
      </c>
      <c r="B1960" s="9" t="s">
        <v>90</v>
      </c>
      <c r="C1960" s="16"/>
      <c r="D1960" s="16"/>
      <c r="E1960" s="19">
        <v>0</v>
      </c>
    </row>
    <row r="1961" spans="1:6" ht="11.25" customHeight="1" x14ac:dyDescent="0.2">
      <c r="A1961" s="8" t="s">
        <v>91</v>
      </c>
      <c r="B1961" s="9" t="s">
        <v>202</v>
      </c>
      <c r="C1961" s="34">
        <v>16</v>
      </c>
      <c r="D1961" s="16">
        <f>E1961/C1961</f>
        <v>2689.294697674909</v>
      </c>
      <c r="E1961" s="19">
        <f>1773.04*2*1.2+2826.16*14*1.2*0.81663515754</f>
        <v>43028.715162798544</v>
      </c>
    </row>
    <row r="1962" spans="1:6" ht="11.25" customHeight="1" x14ac:dyDescent="0.2">
      <c r="A1962" s="8" t="s">
        <v>203</v>
      </c>
      <c r="B1962" s="9" t="s">
        <v>92</v>
      </c>
      <c r="C1962" s="16"/>
      <c r="D1962" s="16"/>
      <c r="E1962" s="19">
        <v>0</v>
      </c>
    </row>
    <row r="1963" spans="1:6" ht="15" customHeight="1" x14ac:dyDescent="0.2">
      <c r="A1963" s="5">
        <v>4</v>
      </c>
      <c r="B1963" s="6" t="s">
        <v>193</v>
      </c>
      <c r="C1963" s="16"/>
      <c r="D1963" s="16"/>
      <c r="E1963" s="17">
        <f>F1964/1.1*0.1</f>
        <v>626209.05599999998</v>
      </c>
    </row>
    <row r="1964" spans="1:6" ht="18.75" customHeight="1" x14ac:dyDescent="0.2">
      <c r="A1964" s="10"/>
      <c r="B1964" s="11" t="s">
        <v>94</v>
      </c>
      <c r="C1964" s="21"/>
      <c r="D1964" s="21"/>
      <c r="E1964" s="17">
        <f>E1930+E1943+E1951+E1963</f>
        <v>6888299.6111627985</v>
      </c>
      <c r="F1964" s="25">
        <f>E1917*29.04*12</f>
        <v>6888299.6160000004</v>
      </c>
    </row>
    <row r="1965" spans="1:6" ht="15" customHeight="1" x14ac:dyDescent="0.25">
      <c r="A1965" s="10"/>
      <c r="B1965" s="11" t="s">
        <v>199</v>
      </c>
      <c r="C1965" s="21"/>
      <c r="D1965" s="21"/>
      <c r="E1965" s="22">
        <v>29.04</v>
      </c>
    </row>
    <row r="1966" spans="1:6" ht="10.95" customHeight="1" x14ac:dyDescent="0.2"/>
    <row r="1967" spans="1:6" ht="10.95" customHeight="1" x14ac:dyDescent="0.2"/>
    <row r="1968" spans="1:6" ht="10.95" customHeight="1" x14ac:dyDescent="0.2"/>
    <row r="1969" spans="1:5" ht="15" customHeight="1" x14ac:dyDescent="0.25">
      <c r="B1969" s="12" t="s">
        <v>96</v>
      </c>
    </row>
    <row r="1970" spans="1:5" ht="12" customHeight="1" x14ac:dyDescent="0.2"/>
    <row r="1971" spans="1:5" ht="13.2" customHeight="1" x14ac:dyDescent="0.25">
      <c r="B1971" s="3" t="s">
        <v>97</v>
      </c>
    </row>
    <row r="1972" spans="1:5" ht="7.95" customHeight="1" x14ac:dyDescent="0.2"/>
    <row r="1973" spans="1:5" ht="12" customHeight="1" x14ac:dyDescent="0.25">
      <c r="B1973" s="41" t="s">
        <v>100</v>
      </c>
      <c r="C1973" s="41"/>
      <c r="D1973" s="41"/>
      <c r="E1973" s="41"/>
    </row>
    <row r="1974" spans="1:5" ht="10.95" customHeight="1" x14ac:dyDescent="0.2"/>
    <row r="1975" spans="1:5" ht="10.95" customHeight="1" x14ac:dyDescent="0.2"/>
    <row r="1976" spans="1:5" ht="10.95" customHeight="1" x14ac:dyDescent="0.2"/>
    <row r="1977" spans="1:5" ht="16.2" customHeight="1" x14ac:dyDescent="0.2">
      <c r="A1977" s="39" t="s">
        <v>0</v>
      </c>
      <c r="B1977" s="39"/>
      <c r="C1977" s="39"/>
      <c r="D1977" s="39"/>
      <c r="E1977" s="39"/>
    </row>
    <row r="1978" spans="1:5" ht="10.95" customHeight="1" x14ac:dyDescent="0.2">
      <c r="A1978" s="40" t="s">
        <v>1</v>
      </c>
      <c r="B1978" s="40"/>
      <c r="C1978" s="40"/>
      <c r="D1978" s="40"/>
      <c r="E1978" s="40"/>
    </row>
    <row r="1979" spans="1:5" ht="13.2" customHeight="1" x14ac:dyDescent="0.2">
      <c r="A1979" s="40" t="s">
        <v>198</v>
      </c>
      <c r="B1979" s="40"/>
      <c r="C1979" s="40"/>
      <c r="D1979" s="40"/>
      <c r="E1979" s="40"/>
    </row>
    <row r="1980" spans="1:5" ht="10.95" customHeight="1" x14ac:dyDescent="0.2"/>
    <row r="1981" spans="1:5" ht="10.95" customHeight="1" x14ac:dyDescent="0.2">
      <c r="C1981" s="42" t="s">
        <v>3</v>
      </c>
      <c r="D1981" s="42"/>
      <c r="E1981" s="42"/>
    </row>
    <row r="1982" spans="1:5" ht="12" customHeight="1" x14ac:dyDescent="0.2">
      <c r="D1982" s="26" t="s">
        <v>4</v>
      </c>
      <c r="E1982" s="24">
        <v>10478.700000000001</v>
      </c>
    </row>
    <row r="1983" spans="1:5" ht="12" customHeight="1" x14ac:dyDescent="0.2">
      <c r="D1983" s="26" t="s">
        <v>5</v>
      </c>
      <c r="E1983" s="23">
        <v>338</v>
      </c>
    </row>
    <row r="1984" spans="1:5" ht="12" customHeight="1" x14ac:dyDescent="0.2">
      <c r="D1984" s="26" t="s">
        <v>6</v>
      </c>
      <c r="E1984" s="30">
        <v>6</v>
      </c>
    </row>
    <row r="1985" spans="1:6" ht="12" customHeight="1" x14ac:dyDescent="0.2">
      <c r="D1985" s="26" t="s">
        <v>7</v>
      </c>
      <c r="E1985" s="30">
        <v>9</v>
      </c>
    </row>
    <row r="1986" spans="1:6" ht="12" customHeight="1" x14ac:dyDescent="0.2">
      <c r="D1986" s="26" t="s">
        <v>8</v>
      </c>
      <c r="E1986" s="30">
        <v>212</v>
      </c>
    </row>
    <row r="1987" spans="1:6" ht="12" customHeight="1" x14ac:dyDescent="0.2">
      <c r="D1987" s="26" t="s">
        <v>9</v>
      </c>
      <c r="E1987" s="30">
        <v>497</v>
      </c>
    </row>
    <row r="1988" spans="1:6" ht="12" customHeight="1" x14ac:dyDescent="0.2">
      <c r="D1988" s="26" t="s">
        <v>10</v>
      </c>
      <c r="E1988" s="30">
        <v>6</v>
      </c>
    </row>
    <row r="1989" spans="1:6" ht="12" customHeight="1" x14ac:dyDescent="0.2">
      <c r="D1989" s="26" t="s">
        <v>11</v>
      </c>
      <c r="E1989" s="30">
        <v>0</v>
      </c>
    </row>
    <row r="1990" spans="1:6" ht="12" customHeight="1" x14ac:dyDescent="0.2">
      <c r="D1990" s="26" t="s">
        <v>12</v>
      </c>
      <c r="E1990" s="30">
        <v>0</v>
      </c>
    </row>
    <row r="1991" spans="1:6" ht="12" customHeight="1" x14ac:dyDescent="0.2">
      <c r="D1991" s="26" t="s">
        <v>13</v>
      </c>
      <c r="E1991" s="30">
        <v>1150</v>
      </c>
    </row>
    <row r="1992" spans="1:6" ht="12" customHeight="1" x14ac:dyDescent="0.25">
      <c r="A1992" s="2" t="s">
        <v>14</v>
      </c>
      <c r="B1992" s="3" t="s">
        <v>151</v>
      </c>
    </row>
    <row r="1993" spans="1:6" ht="10.95" customHeight="1" x14ac:dyDescent="0.2"/>
    <row r="1994" spans="1:6" ht="45" customHeight="1" x14ac:dyDescent="0.2">
      <c r="A1994" s="4" t="s">
        <v>15</v>
      </c>
      <c r="B1994" s="4" t="s">
        <v>131</v>
      </c>
      <c r="C1994" s="27" t="s">
        <v>17</v>
      </c>
      <c r="D1994" s="27" t="s">
        <v>103</v>
      </c>
      <c r="E1994" s="27" t="s">
        <v>19</v>
      </c>
    </row>
    <row r="1995" spans="1:6" ht="31.5" customHeight="1" x14ac:dyDescent="0.2">
      <c r="A1995" s="5">
        <v>1</v>
      </c>
      <c r="B1995" s="6" t="s">
        <v>190</v>
      </c>
      <c r="C1995" s="16"/>
      <c r="D1995" s="16"/>
      <c r="E1995" s="17">
        <f>E1996+E2003</f>
        <v>2014983.4419999998</v>
      </c>
    </row>
    <row r="1996" spans="1:6" ht="15" customHeight="1" x14ac:dyDescent="0.2">
      <c r="A1996" s="7" t="s">
        <v>21</v>
      </c>
      <c r="B1996" s="6" t="s">
        <v>132</v>
      </c>
      <c r="C1996" s="16"/>
      <c r="D1996" s="16"/>
      <c r="E1996" s="17">
        <f>SUM(E1997:E2002)</f>
        <v>780449.71200000006</v>
      </c>
    </row>
    <row r="1997" spans="1:6" ht="11.25" customHeight="1" x14ac:dyDescent="0.2">
      <c r="A1997" s="15" t="s">
        <v>23</v>
      </c>
      <c r="B1997" s="9" t="s">
        <v>34</v>
      </c>
      <c r="C1997" s="16">
        <v>1.31</v>
      </c>
      <c r="D1997" s="16">
        <v>18781</v>
      </c>
      <c r="E1997" s="19">
        <f>ROUND(C1997*D1997,2)*12</f>
        <v>295237.32</v>
      </c>
      <c r="F1997" s="20"/>
    </row>
    <row r="1998" spans="1:6" ht="11.25" customHeight="1" x14ac:dyDescent="0.2">
      <c r="A1998" s="8" t="s">
        <v>31</v>
      </c>
      <c r="B1998" s="9" t="s">
        <v>36</v>
      </c>
      <c r="C1998" s="16">
        <v>1.1599999999999999</v>
      </c>
      <c r="D1998" s="16">
        <v>18781</v>
      </c>
      <c r="E1998" s="19">
        <f>ROUND(C1998*D1998,2)*12</f>
        <v>261431.52</v>
      </c>
    </row>
    <row r="1999" spans="1:6" ht="11.25" customHeight="1" x14ac:dyDescent="0.2">
      <c r="A1999" s="8" t="s">
        <v>121</v>
      </c>
      <c r="B1999" s="9" t="s">
        <v>38</v>
      </c>
      <c r="C1999" s="16">
        <v>30.2</v>
      </c>
      <c r="D1999" s="16">
        <f>E1997</f>
        <v>295237.32</v>
      </c>
      <c r="E1999" s="19">
        <f>ROUND(C1999*D1999/100,2)</f>
        <v>89161.67</v>
      </c>
    </row>
    <row r="2000" spans="1:6" ht="11.25" customHeight="1" x14ac:dyDescent="0.2">
      <c r="A2000" s="8" t="s">
        <v>186</v>
      </c>
      <c r="B2000" s="9" t="s">
        <v>40</v>
      </c>
      <c r="C2000" s="16">
        <v>30.2</v>
      </c>
      <c r="D2000" s="16">
        <f>E1998</f>
        <v>261431.52</v>
      </c>
      <c r="E2000" s="19">
        <f>ROUND(C2000*D2000/100,2)</f>
        <v>78952.320000000007</v>
      </c>
    </row>
    <row r="2001" spans="1:6" ht="11.25" customHeight="1" x14ac:dyDescent="0.2">
      <c r="A2001" s="8" t="s">
        <v>187</v>
      </c>
      <c r="B2001" s="9" t="s">
        <v>42</v>
      </c>
      <c r="C2001" s="16"/>
      <c r="D2001" s="16"/>
      <c r="E2001" s="19">
        <f>E1997*0.1</f>
        <v>29523.732000000004</v>
      </c>
    </row>
    <row r="2002" spans="1:6" ht="11.25" customHeight="1" x14ac:dyDescent="0.2">
      <c r="A2002" s="8" t="s">
        <v>188</v>
      </c>
      <c r="B2002" s="9" t="s">
        <v>44</v>
      </c>
      <c r="C2002" s="16"/>
      <c r="D2002" s="16"/>
      <c r="E2002" s="19">
        <f>ROUND(E1998*0.1,2)</f>
        <v>26143.15</v>
      </c>
    </row>
    <row r="2003" spans="1:6" ht="15" customHeight="1" x14ac:dyDescent="0.2">
      <c r="A2003" s="7" t="s">
        <v>45</v>
      </c>
      <c r="B2003" s="6" t="s">
        <v>189</v>
      </c>
      <c r="C2003" s="16"/>
      <c r="D2003" s="16"/>
      <c r="E2003" s="17">
        <f>E2004+E2005+E2006+E2007</f>
        <v>1234533.7299999997</v>
      </c>
    </row>
    <row r="2004" spans="1:6" ht="11.25" customHeight="1" x14ac:dyDescent="0.2">
      <c r="A2004" s="8" t="s">
        <v>47</v>
      </c>
      <c r="B2004" s="9" t="s">
        <v>48</v>
      </c>
      <c r="C2004" s="16">
        <v>2.88</v>
      </c>
      <c r="D2004" s="16">
        <v>18781</v>
      </c>
      <c r="E2004" s="19">
        <f>ROUND(C2004*D2004,2)*12</f>
        <v>649071.35999999999</v>
      </c>
      <c r="F2004" s="20"/>
    </row>
    <row r="2005" spans="1:6" ht="11.25" customHeight="1" x14ac:dyDescent="0.2">
      <c r="A2005" s="8" t="s">
        <v>49</v>
      </c>
      <c r="B2005" s="9" t="s">
        <v>50</v>
      </c>
      <c r="C2005" s="16">
        <v>30.2</v>
      </c>
      <c r="D2005" s="16">
        <f>E2004</f>
        <v>649071.35999999999</v>
      </c>
      <c r="E2005" s="19">
        <f>ROUND(C2005*D2005/100,2)</f>
        <v>196019.55</v>
      </c>
    </row>
    <row r="2006" spans="1:6" ht="11.25" customHeight="1" x14ac:dyDescent="0.2">
      <c r="A2006" s="8" t="s">
        <v>51</v>
      </c>
      <c r="B2006" s="9" t="s">
        <v>52</v>
      </c>
      <c r="C2006" s="16"/>
      <c r="D2006" s="16"/>
      <c r="E2006" s="19">
        <f>ROUND(E2004*0.5,2)</f>
        <v>324535.67999999999</v>
      </c>
    </row>
    <row r="2007" spans="1:6" ht="11.25" customHeight="1" x14ac:dyDescent="0.2">
      <c r="A2007" s="8" t="s">
        <v>53</v>
      </c>
      <c r="B2007" s="9" t="s">
        <v>54</v>
      </c>
      <c r="C2007" s="16"/>
      <c r="D2007" s="16"/>
      <c r="E2007" s="19">
        <f>ROUND(E2004*0.1,2)</f>
        <v>64907.14</v>
      </c>
    </row>
    <row r="2008" spans="1:6" ht="20.100000000000001" customHeight="1" x14ac:dyDescent="0.2">
      <c r="A2008" s="5">
        <v>2</v>
      </c>
      <c r="B2008" s="6" t="s">
        <v>57</v>
      </c>
      <c r="C2008" s="16"/>
      <c r="D2008" s="16"/>
      <c r="E2008" s="17">
        <f>E2009+E2011+E2012+E2013+E2014+E2015+E2010</f>
        <v>852425.13</v>
      </c>
    </row>
    <row r="2009" spans="1:6" ht="11.25" customHeight="1" x14ac:dyDescent="0.2">
      <c r="A2009" s="35" t="s">
        <v>58</v>
      </c>
      <c r="B2009" s="9" t="s">
        <v>204</v>
      </c>
      <c r="C2009" s="16">
        <v>720.65</v>
      </c>
      <c r="D2009" s="16">
        <f>E2009/C2009</f>
        <v>177.96999930618193</v>
      </c>
      <c r="E2009" s="19">
        <v>128254.08</v>
      </c>
    </row>
    <row r="2010" spans="1:6" ht="11.25" customHeight="1" x14ac:dyDescent="0.2">
      <c r="A2010" s="35" t="s">
        <v>60</v>
      </c>
      <c r="B2010" s="9" t="s">
        <v>195</v>
      </c>
      <c r="C2010" s="16">
        <v>720.65</v>
      </c>
      <c r="D2010" s="16">
        <f>E2010/C2010</f>
        <v>219.63342815513772</v>
      </c>
      <c r="E2010" s="19">
        <v>158278.82999999999</v>
      </c>
    </row>
    <row r="2011" spans="1:6" ht="11.25" customHeight="1" x14ac:dyDescent="0.2">
      <c r="A2011" s="35" t="s">
        <v>62</v>
      </c>
      <c r="B2011" s="9" t="s">
        <v>196</v>
      </c>
      <c r="C2011" s="16">
        <v>228.62</v>
      </c>
      <c r="D2011" s="16">
        <f>E2011/C2011</f>
        <v>848.40123348788381</v>
      </c>
      <c r="E2011" s="19">
        <v>193961.49</v>
      </c>
    </row>
    <row r="2012" spans="1:6" ht="11.25" customHeight="1" x14ac:dyDescent="0.2">
      <c r="A2012" s="35" t="s">
        <v>64</v>
      </c>
      <c r="B2012" s="9" t="s">
        <v>63</v>
      </c>
      <c r="C2012" s="16">
        <f>E2012/D2012</f>
        <v>36586.712979890312</v>
      </c>
      <c r="D2012" s="16">
        <v>5.47</v>
      </c>
      <c r="E2012" s="19">
        <f>164100+36029.32</f>
        <v>200129.32</v>
      </c>
      <c r="F2012" s="20"/>
    </row>
    <row r="2013" spans="1:6" ht="11.25" customHeight="1" x14ac:dyDescent="0.2">
      <c r="A2013" s="35" t="s">
        <v>66</v>
      </c>
      <c r="B2013" s="9" t="s">
        <v>65</v>
      </c>
      <c r="C2013" s="16">
        <f>E2013/D2013</f>
        <v>2062.2680957274997</v>
      </c>
      <c r="D2013" s="16">
        <v>68.11</v>
      </c>
      <c r="E2013" s="19">
        <f>112944.3+6716.08+20800.7</f>
        <v>140461.08000000002</v>
      </c>
    </row>
    <row r="2014" spans="1:6" ht="11.25" customHeight="1" x14ac:dyDescent="0.2">
      <c r="A2014" s="35" t="s">
        <v>68</v>
      </c>
      <c r="B2014" s="9" t="s">
        <v>69</v>
      </c>
      <c r="C2014" s="16">
        <v>1383.6</v>
      </c>
      <c r="D2014" s="16">
        <f>E2014/C2014</f>
        <v>3.3500000000000005</v>
      </c>
      <c r="E2014" s="19">
        <v>4635.0600000000004</v>
      </c>
    </row>
    <row r="2015" spans="1:6" ht="11.25" customHeight="1" x14ac:dyDescent="0.2">
      <c r="A2015" s="35" t="s">
        <v>70</v>
      </c>
      <c r="B2015" s="9" t="s">
        <v>71</v>
      </c>
      <c r="C2015" s="16">
        <v>142.02000000000001</v>
      </c>
      <c r="D2015" s="16">
        <f>E2015/C2015</f>
        <v>188.03879735248555</v>
      </c>
      <c r="E2015" s="19">
        <v>26705.27</v>
      </c>
    </row>
    <row r="2016" spans="1:6" ht="20.100000000000001" customHeight="1" x14ac:dyDescent="0.2">
      <c r="A2016" s="5">
        <v>3</v>
      </c>
      <c r="B2016" s="6" t="s">
        <v>72</v>
      </c>
      <c r="C2016" s="16"/>
      <c r="D2016" s="16"/>
      <c r="E2016" s="17">
        <f>E2017+E2018+E2019+E2020+E2021+E2022+E2023+E2024+E2025+E2027+E2026</f>
        <v>452243.58964119939</v>
      </c>
    </row>
    <row r="2017" spans="1:6" ht="11.25" customHeight="1" x14ac:dyDescent="0.2">
      <c r="A2017" s="8" t="s">
        <v>73</v>
      </c>
      <c r="B2017" s="9" t="s">
        <v>74</v>
      </c>
      <c r="C2017" s="34">
        <v>6</v>
      </c>
      <c r="D2017" s="16">
        <f>E2017/C2017/12</f>
        <v>3192.7319444444443</v>
      </c>
      <c r="E2017" s="19">
        <v>229876.7</v>
      </c>
    </row>
    <row r="2018" spans="1:6" ht="11.25" customHeight="1" x14ac:dyDescent="0.2">
      <c r="A2018" s="8" t="s">
        <v>75</v>
      </c>
      <c r="B2018" s="9" t="s">
        <v>76</v>
      </c>
      <c r="C2018" s="16"/>
      <c r="D2018" s="16"/>
      <c r="E2018" s="19">
        <v>0</v>
      </c>
    </row>
    <row r="2019" spans="1:6" ht="11.25" customHeight="1" x14ac:dyDescent="0.2">
      <c r="A2019" s="8" t="s">
        <v>77</v>
      </c>
      <c r="B2019" s="9" t="s">
        <v>78</v>
      </c>
      <c r="C2019" s="16"/>
      <c r="D2019" s="16"/>
      <c r="E2019" s="19">
        <v>0</v>
      </c>
    </row>
    <row r="2020" spans="1:6" ht="11.25" customHeight="1" x14ac:dyDescent="0.2">
      <c r="A2020" s="8" t="s">
        <v>79</v>
      </c>
      <c r="B2020" s="9" t="s">
        <v>80</v>
      </c>
      <c r="C2020" s="16">
        <v>10478.700000000001</v>
      </c>
      <c r="D2020" s="16">
        <f>E2020/C2020</f>
        <v>4.2839340757918443</v>
      </c>
      <c r="E2020" s="19">
        <v>44890.06</v>
      </c>
    </row>
    <row r="2021" spans="1:6" ht="11.25" customHeight="1" x14ac:dyDescent="0.2">
      <c r="A2021" s="8" t="s">
        <v>81</v>
      </c>
      <c r="B2021" s="9" t="s">
        <v>82</v>
      </c>
      <c r="C2021" s="34">
        <v>424</v>
      </c>
      <c r="D2021" s="16">
        <f>E2021/C2021</f>
        <v>71.800754716981132</v>
      </c>
      <c r="E2021" s="19">
        <v>30443.52</v>
      </c>
    </row>
    <row r="2022" spans="1:6" ht="11.25" customHeight="1" x14ac:dyDescent="0.2">
      <c r="A2022" s="8" t="s">
        <v>83</v>
      </c>
      <c r="B2022" s="9" t="s">
        <v>194</v>
      </c>
      <c r="C2022" s="34">
        <v>212</v>
      </c>
      <c r="D2022" s="16">
        <f>E2022/C2022</f>
        <v>86.760707547169815</v>
      </c>
      <c r="E2022" s="19">
        <v>18393.27</v>
      </c>
    </row>
    <row r="2023" spans="1:6" ht="11.25" customHeight="1" x14ac:dyDescent="0.2">
      <c r="A2023" s="8" t="s">
        <v>85</v>
      </c>
      <c r="B2023" s="9" t="s">
        <v>86</v>
      </c>
      <c r="C2023" s="16"/>
      <c r="D2023" s="16"/>
      <c r="E2023" s="19">
        <v>0</v>
      </c>
    </row>
    <row r="2024" spans="1:6" ht="11.25" customHeight="1" x14ac:dyDescent="0.2">
      <c r="A2024" s="8" t="s">
        <v>87</v>
      </c>
      <c r="B2024" s="9" t="s">
        <v>88</v>
      </c>
      <c r="C2024" s="34">
        <v>212</v>
      </c>
      <c r="D2024" s="16">
        <f>E2024/C2024</f>
        <v>528.40971698113208</v>
      </c>
      <c r="E2024" s="19">
        <v>112022.86</v>
      </c>
    </row>
    <row r="2025" spans="1:6" ht="11.25" customHeight="1" x14ac:dyDescent="0.2">
      <c r="A2025" s="8" t="s">
        <v>89</v>
      </c>
      <c r="B2025" s="9" t="s">
        <v>90</v>
      </c>
      <c r="C2025" s="16"/>
      <c r="D2025" s="16"/>
      <c r="E2025" s="19">
        <v>0</v>
      </c>
    </row>
    <row r="2026" spans="1:6" ht="11.25" customHeight="1" x14ac:dyDescent="0.2">
      <c r="A2026" s="8" t="s">
        <v>91</v>
      </c>
      <c r="B2026" s="9" t="s">
        <v>202</v>
      </c>
      <c r="C2026" s="34">
        <v>6</v>
      </c>
      <c r="D2026" s="16">
        <f>E2026/C2026</f>
        <v>2769.5299401998959</v>
      </c>
      <c r="E2026" s="19">
        <f>2826.16*6*1.2*0.81663515754</f>
        <v>16617.179641199375</v>
      </c>
    </row>
    <row r="2027" spans="1:6" ht="11.25" customHeight="1" x14ac:dyDescent="0.2">
      <c r="A2027" s="8" t="s">
        <v>203</v>
      </c>
      <c r="B2027" s="9" t="s">
        <v>92</v>
      </c>
      <c r="C2027" s="16"/>
      <c r="D2027" s="16"/>
      <c r="E2027" s="19">
        <v>0</v>
      </c>
    </row>
    <row r="2028" spans="1:6" ht="15" customHeight="1" x14ac:dyDescent="0.2">
      <c r="A2028" s="5">
        <v>4</v>
      </c>
      <c r="B2028" s="6" t="s">
        <v>193</v>
      </c>
      <c r="C2028" s="16"/>
      <c r="D2028" s="16"/>
      <c r="E2028" s="17">
        <f>F2029/1.1*0.1</f>
        <v>331965.21600000001</v>
      </c>
    </row>
    <row r="2029" spans="1:6" ht="18.75" customHeight="1" x14ac:dyDescent="0.2">
      <c r="A2029" s="10"/>
      <c r="B2029" s="11" t="s">
        <v>94</v>
      </c>
      <c r="C2029" s="21"/>
      <c r="D2029" s="21"/>
      <c r="E2029" s="17">
        <f>E1995+E2008+E2016+E2028</f>
        <v>3651617.3776411992</v>
      </c>
      <c r="F2029" s="25">
        <f>E1982*29.04*12</f>
        <v>3651617.3760000002</v>
      </c>
    </row>
    <row r="2030" spans="1:6" ht="15" customHeight="1" x14ac:dyDescent="0.25">
      <c r="A2030" s="10"/>
      <c r="B2030" s="11" t="s">
        <v>199</v>
      </c>
      <c r="C2030" s="21"/>
      <c r="D2030" s="21"/>
      <c r="E2030" s="22">
        <v>29.04</v>
      </c>
    </row>
    <row r="2031" spans="1:6" ht="10.95" customHeight="1" x14ac:dyDescent="0.2"/>
    <row r="2032" spans="1:6" ht="10.95" customHeight="1" x14ac:dyDescent="0.2"/>
    <row r="2033" spans="1:5" ht="10.95" customHeight="1" x14ac:dyDescent="0.2"/>
    <row r="2034" spans="1:5" ht="15" customHeight="1" x14ac:dyDescent="0.25">
      <c r="B2034" s="12" t="s">
        <v>96</v>
      </c>
    </row>
    <row r="2035" spans="1:5" ht="12" customHeight="1" x14ac:dyDescent="0.2"/>
    <row r="2036" spans="1:5" ht="13.2" customHeight="1" x14ac:dyDescent="0.25">
      <c r="B2036" s="3" t="s">
        <v>97</v>
      </c>
    </row>
    <row r="2037" spans="1:5" ht="7.95" customHeight="1" x14ac:dyDescent="0.2"/>
    <row r="2038" spans="1:5" ht="12" customHeight="1" x14ac:dyDescent="0.25">
      <c r="B2038" s="41" t="s">
        <v>100</v>
      </c>
      <c r="C2038" s="41"/>
      <c r="D2038" s="41"/>
      <c r="E2038" s="41"/>
    </row>
    <row r="2039" spans="1:5" ht="10.95" customHeight="1" x14ac:dyDescent="0.2"/>
    <row r="2040" spans="1:5" ht="10.95" customHeight="1" x14ac:dyDescent="0.2"/>
    <row r="2041" spans="1:5" ht="10.95" customHeight="1" x14ac:dyDescent="0.2"/>
    <row r="2042" spans="1:5" ht="16.2" customHeight="1" x14ac:dyDescent="0.2">
      <c r="A2042" s="39" t="s">
        <v>0</v>
      </c>
      <c r="B2042" s="39"/>
      <c r="C2042" s="39"/>
      <c r="D2042" s="39"/>
      <c r="E2042" s="39"/>
    </row>
    <row r="2043" spans="1:5" ht="10.95" customHeight="1" x14ac:dyDescent="0.2">
      <c r="A2043" s="40" t="s">
        <v>1</v>
      </c>
      <c r="B2043" s="40"/>
      <c r="C2043" s="40"/>
      <c r="D2043" s="40"/>
      <c r="E2043" s="40"/>
    </row>
    <row r="2044" spans="1:5" ht="13.2" customHeight="1" x14ac:dyDescent="0.2">
      <c r="A2044" s="40" t="s">
        <v>198</v>
      </c>
      <c r="B2044" s="40"/>
      <c r="C2044" s="40"/>
      <c r="D2044" s="40"/>
      <c r="E2044" s="40"/>
    </row>
    <row r="2045" spans="1:5" ht="10.95" customHeight="1" x14ac:dyDescent="0.2"/>
    <row r="2046" spans="1:5" ht="10.95" customHeight="1" x14ac:dyDescent="0.2">
      <c r="C2046" s="42" t="s">
        <v>3</v>
      </c>
      <c r="D2046" s="42"/>
      <c r="E2046" s="42"/>
    </row>
    <row r="2047" spans="1:5" ht="12" customHeight="1" x14ac:dyDescent="0.2">
      <c r="D2047" s="26" t="s">
        <v>4</v>
      </c>
      <c r="E2047" s="24">
        <v>10522.2</v>
      </c>
    </row>
    <row r="2048" spans="1:5" ht="12" customHeight="1" x14ac:dyDescent="0.2">
      <c r="D2048" s="26" t="s">
        <v>5</v>
      </c>
      <c r="E2048" s="23">
        <v>308.2</v>
      </c>
    </row>
    <row r="2049" spans="1:6" ht="12" customHeight="1" x14ac:dyDescent="0.2">
      <c r="D2049" s="26" t="s">
        <v>6</v>
      </c>
      <c r="E2049" s="30">
        <v>6</v>
      </c>
    </row>
    <row r="2050" spans="1:6" ht="12" customHeight="1" x14ac:dyDescent="0.2">
      <c r="D2050" s="26" t="s">
        <v>7</v>
      </c>
      <c r="E2050" s="30">
        <v>9</v>
      </c>
    </row>
    <row r="2051" spans="1:6" ht="12" customHeight="1" x14ac:dyDescent="0.2">
      <c r="D2051" s="26" t="s">
        <v>8</v>
      </c>
      <c r="E2051" s="30">
        <v>213</v>
      </c>
    </row>
    <row r="2052" spans="1:6" ht="12" customHeight="1" x14ac:dyDescent="0.2">
      <c r="D2052" s="26" t="s">
        <v>9</v>
      </c>
      <c r="E2052" s="30">
        <v>536</v>
      </c>
    </row>
    <row r="2053" spans="1:6" ht="12" customHeight="1" x14ac:dyDescent="0.2">
      <c r="D2053" s="26" t="s">
        <v>10</v>
      </c>
      <c r="E2053" s="30">
        <v>6</v>
      </c>
    </row>
    <row r="2054" spans="1:6" ht="12" customHeight="1" x14ac:dyDescent="0.2">
      <c r="D2054" s="26" t="s">
        <v>11</v>
      </c>
      <c r="E2054" s="30">
        <v>0</v>
      </c>
    </row>
    <row r="2055" spans="1:6" ht="12" customHeight="1" x14ac:dyDescent="0.2">
      <c r="D2055" s="26" t="s">
        <v>12</v>
      </c>
      <c r="E2055" s="30">
        <v>0</v>
      </c>
    </row>
    <row r="2056" spans="1:6" ht="12" customHeight="1" x14ac:dyDescent="0.2">
      <c r="D2056" s="26" t="s">
        <v>13</v>
      </c>
      <c r="E2056" s="30">
        <v>1103</v>
      </c>
    </row>
    <row r="2057" spans="1:6" ht="12" customHeight="1" x14ac:dyDescent="0.25">
      <c r="A2057" s="2" t="s">
        <v>14</v>
      </c>
      <c r="B2057" s="3" t="s">
        <v>152</v>
      </c>
    </row>
    <row r="2058" spans="1:6" ht="10.95" customHeight="1" x14ac:dyDescent="0.2"/>
    <row r="2059" spans="1:6" ht="45" customHeight="1" x14ac:dyDescent="0.2">
      <c r="A2059" s="4" t="s">
        <v>15</v>
      </c>
      <c r="B2059" s="4">
        <v>9844.32</v>
      </c>
      <c r="C2059" s="27" t="s">
        <v>17</v>
      </c>
      <c r="D2059" s="27" t="s">
        <v>103</v>
      </c>
      <c r="E2059" s="27" t="s">
        <v>19</v>
      </c>
    </row>
    <row r="2060" spans="1:6" ht="31.5" customHeight="1" x14ac:dyDescent="0.2">
      <c r="A2060" s="5">
        <v>1</v>
      </c>
      <c r="B2060" s="6" t="s">
        <v>190</v>
      </c>
      <c r="C2060" s="16"/>
      <c r="D2060" s="16"/>
      <c r="E2060" s="17">
        <f>E2061+E2068</f>
        <v>1962715.1619999998</v>
      </c>
    </row>
    <row r="2061" spans="1:6" ht="15" customHeight="1" x14ac:dyDescent="0.2">
      <c r="A2061" s="7" t="s">
        <v>21</v>
      </c>
      <c r="B2061" s="6" t="s">
        <v>132</v>
      </c>
      <c r="C2061" s="16"/>
      <c r="D2061" s="16"/>
      <c r="E2061" s="17">
        <f>SUM(E2062:E2067)</f>
        <v>793088.57199999993</v>
      </c>
    </row>
    <row r="2062" spans="1:6" ht="11.25" customHeight="1" x14ac:dyDescent="0.2">
      <c r="A2062" s="15" t="s">
        <v>23</v>
      </c>
      <c r="B2062" s="9" t="s">
        <v>34</v>
      </c>
      <c r="C2062" s="16">
        <v>1.26</v>
      </c>
      <c r="D2062" s="16">
        <v>18781</v>
      </c>
      <c r="E2062" s="19">
        <f>ROUND(C2062*D2062,2)*12</f>
        <v>283968.72000000003</v>
      </c>
      <c r="F2062" s="20"/>
    </row>
    <row r="2063" spans="1:6" ht="11.25" customHeight="1" x14ac:dyDescent="0.2">
      <c r="A2063" s="8" t="s">
        <v>31</v>
      </c>
      <c r="B2063" s="9" t="s">
        <v>36</v>
      </c>
      <c r="C2063" s="16">
        <v>1.25</v>
      </c>
      <c r="D2063" s="16">
        <v>18781</v>
      </c>
      <c r="E2063" s="19">
        <f>ROUND(C2063*D2063,2)*12</f>
        <v>281715</v>
      </c>
    </row>
    <row r="2064" spans="1:6" ht="11.25" customHeight="1" x14ac:dyDescent="0.2">
      <c r="A2064" s="8" t="s">
        <v>121</v>
      </c>
      <c r="B2064" s="9" t="s">
        <v>38</v>
      </c>
      <c r="C2064" s="16">
        <v>30.2</v>
      </c>
      <c r="D2064" s="16">
        <f>E2062</f>
        <v>283968.72000000003</v>
      </c>
      <c r="E2064" s="19">
        <f>ROUND(C2064*D2064/100,2)</f>
        <v>85758.55</v>
      </c>
    </row>
    <row r="2065" spans="1:6" ht="11.25" customHeight="1" x14ac:dyDescent="0.2">
      <c r="A2065" s="8" t="s">
        <v>186</v>
      </c>
      <c r="B2065" s="9" t="s">
        <v>40</v>
      </c>
      <c r="C2065" s="16">
        <v>30.2</v>
      </c>
      <c r="D2065" s="16">
        <f>E2063</f>
        <v>281715</v>
      </c>
      <c r="E2065" s="19">
        <f>ROUND(C2065*D2065/100,2)</f>
        <v>85077.93</v>
      </c>
    </row>
    <row r="2066" spans="1:6" ht="11.25" customHeight="1" x14ac:dyDescent="0.2">
      <c r="A2066" s="8" t="s">
        <v>187</v>
      </c>
      <c r="B2066" s="9" t="s">
        <v>42</v>
      </c>
      <c r="C2066" s="16"/>
      <c r="D2066" s="16"/>
      <c r="E2066" s="19">
        <f>E2062*0.1</f>
        <v>28396.872000000003</v>
      </c>
    </row>
    <row r="2067" spans="1:6" ht="11.25" customHeight="1" x14ac:dyDescent="0.2">
      <c r="A2067" s="8" t="s">
        <v>188</v>
      </c>
      <c r="B2067" s="9" t="s">
        <v>44</v>
      </c>
      <c r="C2067" s="16"/>
      <c r="D2067" s="16"/>
      <c r="E2067" s="19">
        <f>E2063*0.1</f>
        <v>28171.5</v>
      </c>
    </row>
    <row r="2068" spans="1:6" ht="15" customHeight="1" x14ac:dyDescent="0.2">
      <c r="A2068" s="7" t="s">
        <v>45</v>
      </c>
      <c r="B2068" s="6" t="s">
        <v>189</v>
      </c>
      <c r="C2068" s="16"/>
      <c r="D2068" s="16"/>
      <c r="E2068" s="17">
        <f>E2069+E2070+E2071+E2072</f>
        <v>1169626.5899999999</v>
      </c>
    </row>
    <row r="2069" spans="1:6" ht="11.25" customHeight="1" x14ac:dyDescent="0.2">
      <c r="A2069" s="8" t="s">
        <v>47</v>
      </c>
      <c r="B2069" s="9" t="s">
        <v>48</v>
      </c>
      <c r="C2069" s="16">
        <v>2.88</v>
      </c>
      <c r="D2069" s="16">
        <v>18781</v>
      </c>
      <c r="E2069" s="19">
        <f>ROUND(C2069*D2069,2)*12</f>
        <v>649071.35999999999</v>
      </c>
      <c r="F2069" s="20"/>
    </row>
    <row r="2070" spans="1:6" ht="11.25" customHeight="1" x14ac:dyDescent="0.2">
      <c r="A2070" s="8" t="s">
        <v>49</v>
      </c>
      <c r="B2070" s="9" t="s">
        <v>50</v>
      </c>
      <c r="C2070" s="16">
        <v>30.2</v>
      </c>
      <c r="D2070" s="16">
        <f>E2069</f>
        <v>649071.35999999999</v>
      </c>
      <c r="E2070" s="19">
        <f>ROUND(C2070*D2070/100,2)</f>
        <v>196019.55</v>
      </c>
    </row>
    <row r="2071" spans="1:6" ht="11.25" customHeight="1" x14ac:dyDescent="0.2">
      <c r="A2071" s="8" t="s">
        <v>51</v>
      </c>
      <c r="B2071" s="9" t="s">
        <v>52</v>
      </c>
      <c r="C2071" s="16"/>
      <c r="D2071" s="16"/>
      <c r="E2071" s="19">
        <f>E2069*0.4</f>
        <v>259628.54399999999</v>
      </c>
    </row>
    <row r="2072" spans="1:6" ht="11.25" customHeight="1" x14ac:dyDescent="0.2">
      <c r="A2072" s="8" t="s">
        <v>53</v>
      </c>
      <c r="B2072" s="9" t="s">
        <v>54</v>
      </c>
      <c r="C2072" s="16"/>
      <c r="D2072" s="16"/>
      <c r="E2072" s="19">
        <f>E2069*0.1</f>
        <v>64907.135999999999</v>
      </c>
    </row>
    <row r="2073" spans="1:6" ht="20.100000000000001" customHeight="1" x14ac:dyDescent="0.2">
      <c r="A2073" s="5">
        <v>2</v>
      </c>
      <c r="B2073" s="6" t="s">
        <v>57</v>
      </c>
      <c r="C2073" s="16"/>
      <c r="D2073" s="16"/>
      <c r="E2073" s="17">
        <f>E2074+E2076+E2077+E2078+E2079+E2080+E2075</f>
        <v>918102.24999999988</v>
      </c>
    </row>
    <row r="2074" spans="1:6" ht="11.25" customHeight="1" x14ac:dyDescent="0.2">
      <c r="A2074" s="35" t="s">
        <v>58</v>
      </c>
      <c r="B2074" s="9" t="s">
        <v>204</v>
      </c>
      <c r="C2074" s="16">
        <v>777.2</v>
      </c>
      <c r="D2074" s="16">
        <f>E2074/C2074</f>
        <v>177.9699948533196</v>
      </c>
      <c r="E2074" s="19">
        <v>138318.28</v>
      </c>
    </row>
    <row r="2075" spans="1:6" ht="11.25" customHeight="1" x14ac:dyDescent="0.2">
      <c r="A2075" s="35" t="s">
        <v>60</v>
      </c>
      <c r="B2075" s="9" t="s">
        <v>195</v>
      </c>
      <c r="C2075" s="16">
        <v>777.2</v>
      </c>
      <c r="D2075" s="16">
        <f>E2075/C2075</f>
        <v>219.63344055584145</v>
      </c>
      <c r="E2075" s="19">
        <v>170699.11</v>
      </c>
    </row>
    <row r="2076" spans="1:6" ht="11.25" customHeight="1" x14ac:dyDescent="0.2">
      <c r="A2076" s="35" t="s">
        <v>62</v>
      </c>
      <c r="B2076" s="9" t="s">
        <v>196</v>
      </c>
      <c r="C2076" s="16">
        <v>246.56</v>
      </c>
      <c r="D2076" s="16">
        <f>E2076/C2076</f>
        <v>848.40124107722261</v>
      </c>
      <c r="E2076" s="19">
        <v>209181.81</v>
      </c>
    </row>
    <row r="2077" spans="1:6" ht="11.25" customHeight="1" x14ac:dyDescent="0.2">
      <c r="A2077" s="35" t="s">
        <v>64</v>
      </c>
      <c r="B2077" s="9" t="s">
        <v>63</v>
      </c>
      <c r="C2077" s="16">
        <f>E2077/D2077</f>
        <v>42060.162705667281</v>
      </c>
      <c r="D2077" s="16">
        <v>5.47</v>
      </c>
      <c r="E2077" s="19">
        <f>257090-17176.59-9844.32</f>
        <v>230069.09</v>
      </c>
      <c r="F2077" s="20"/>
    </row>
    <row r="2078" spans="1:6" ht="11.25" customHeight="1" x14ac:dyDescent="0.2">
      <c r="A2078" s="35" t="s">
        <v>66</v>
      </c>
      <c r="B2078" s="9" t="s">
        <v>65</v>
      </c>
      <c r="C2078" s="16">
        <f>E2078/D2078</f>
        <v>2034.0949933930406</v>
      </c>
      <c r="D2078" s="16">
        <v>68.11</v>
      </c>
      <c r="E2078" s="19">
        <f>107897.2+9844.32+20800.69</f>
        <v>138542.21</v>
      </c>
      <c r="F2078" s="20"/>
    </row>
    <row r="2079" spans="1:6" ht="11.25" customHeight="1" x14ac:dyDescent="0.2">
      <c r="A2079" s="35" t="s">
        <v>68</v>
      </c>
      <c r="B2079" s="9" t="s">
        <v>69</v>
      </c>
      <c r="C2079" s="16">
        <v>1369.1</v>
      </c>
      <c r="D2079" s="16">
        <f>E2079/C2079</f>
        <v>3.349996347965817</v>
      </c>
      <c r="E2079" s="19">
        <v>4586.4799999999996</v>
      </c>
    </row>
    <row r="2080" spans="1:6" ht="11.25" customHeight="1" x14ac:dyDescent="0.2">
      <c r="A2080" s="35" t="s">
        <v>70</v>
      </c>
      <c r="B2080" s="9" t="s">
        <v>71</v>
      </c>
      <c r="C2080" s="16">
        <v>142.02000000000001</v>
      </c>
      <c r="D2080" s="16">
        <f>E2080/C2080</f>
        <v>188.03879735248555</v>
      </c>
      <c r="E2080" s="19">
        <v>26705.27</v>
      </c>
    </row>
    <row r="2081" spans="1:6" ht="20.100000000000001" customHeight="1" x14ac:dyDescent="0.2">
      <c r="A2081" s="5">
        <v>3</v>
      </c>
      <c r="B2081" s="6" t="s">
        <v>72</v>
      </c>
      <c r="C2081" s="16"/>
      <c r="D2081" s="16"/>
      <c r="E2081" s="17">
        <f>E2082+E2083+E2084+E2085+E2086+E2087+E2088+E2089+E2090+E2092+E2091</f>
        <v>452615.53964119934</v>
      </c>
    </row>
    <row r="2082" spans="1:6" ht="11.25" customHeight="1" x14ac:dyDescent="0.2">
      <c r="A2082" s="8" t="s">
        <v>73</v>
      </c>
      <c r="B2082" s="9" t="s">
        <v>74</v>
      </c>
      <c r="C2082" s="34">
        <v>6</v>
      </c>
      <c r="D2082" s="16">
        <f>E2082/C2082/12</f>
        <v>3192.7319444444443</v>
      </c>
      <c r="E2082" s="19">
        <v>229876.7</v>
      </c>
    </row>
    <row r="2083" spans="1:6" ht="11.25" customHeight="1" x14ac:dyDescent="0.2">
      <c r="A2083" s="8" t="s">
        <v>75</v>
      </c>
      <c r="B2083" s="9" t="s">
        <v>76</v>
      </c>
      <c r="C2083" s="16"/>
      <c r="D2083" s="16"/>
      <c r="E2083" s="19">
        <v>0</v>
      </c>
    </row>
    <row r="2084" spans="1:6" ht="11.25" customHeight="1" x14ac:dyDescent="0.2">
      <c r="A2084" s="8" t="s">
        <v>77</v>
      </c>
      <c r="B2084" s="9" t="s">
        <v>78</v>
      </c>
      <c r="C2084" s="16"/>
      <c r="D2084" s="16"/>
      <c r="E2084" s="19">
        <v>0</v>
      </c>
    </row>
    <row r="2085" spans="1:6" ht="11.25" customHeight="1" x14ac:dyDescent="0.2">
      <c r="A2085" s="8" t="s">
        <v>79</v>
      </c>
      <c r="B2085" s="9" t="s">
        <v>80</v>
      </c>
      <c r="C2085" s="16">
        <v>10522.2</v>
      </c>
      <c r="D2085" s="16">
        <f>E2085/C2085</f>
        <v>4.2716266560225051</v>
      </c>
      <c r="E2085" s="19">
        <v>44946.91</v>
      </c>
    </row>
    <row r="2086" spans="1:6" ht="11.25" customHeight="1" x14ac:dyDescent="0.2">
      <c r="A2086" s="8" t="s">
        <v>81</v>
      </c>
      <c r="B2086" s="9" t="s">
        <v>82</v>
      </c>
      <c r="C2086" s="34">
        <v>426</v>
      </c>
      <c r="D2086" s="16">
        <f>E2086/C2086</f>
        <v>71.769248826291076</v>
      </c>
      <c r="E2086" s="19">
        <v>30573.7</v>
      </c>
    </row>
    <row r="2087" spans="1:6" ht="11.25" customHeight="1" x14ac:dyDescent="0.2">
      <c r="A2087" s="8" t="s">
        <v>83</v>
      </c>
      <c r="B2087" s="9" t="s">
        <v>194</v>
      </c>
      <c r="C2087" s="34">
        <v>213</v>
      </c>
      <c r="D2087" s="16">
        <f>E2087/C2087</f>
        <v>86.898544600938962</v>
      </c>
      <c r="E2087" s="19">
        <v>18509.39</v>
      </c>
    </row>
    <row r="2088" spans="1:6" ht="11.25" customHeight="1" x14ac:dyDescent="0.2">
      <c r="A2088" s="8" t="s">
        <v>85</v>
      </c>
      <c r="B2088" s="9" t="s">
        <v>86</v>
      </c>
      <c r="C2088" s="34"/>
      <c r="D2088" s="16"/>
      <c r="E2088" s="19">
        <v>0</v>
      </c>
    </row>
    <row r="2089" spans="1:6" ht="11.25" customHeight="1" x14ac:dyDescent="0.2">
      <c r="A2089" s="8" t="s">
        <v>87</v>
      </c>
      <c r="B2089" s="9" t="s">
        <v>88</v>
      </c>
      <c r="C2089" s="34">
        <v>212</v>
      </c>
      <c r="D2089" s="16">
        <f>E2089/C2089</f>
        <v>528.73424528301894</v>
      </c>
      <c r="E2089" s="19">
        <v>112091.66</v>
      </c>
    </row>
    <row r="2090" spans="1:6" ht="11.25" customHeight="1" x14ac:dyDescent="0.2">
      <c r="A2090" s="8" t="s">
        <v>89</v>
      </c>
      <c r="B2090" s="9" t="s">
        <v>90</v>
      </c>
      <c r="C2090" s="16"/>
      <c r="D2090" s="16"/>
      <c r="E2090" s="19">
        <v>0</v>
      </c>
    </row>
    <row r="2091" spans="1:6" ht="11.25" customHeight="1" x14ac:dyDescent="0.2">
      <c r="A2091" s="8" t="s">
        <v>91</v>
      </c>
      <c r="B2091" s="9" t="s">
        <v>202</v>
      </c>
      <c r="C2091" s="34">
        <v>6</v>
      </c>
      <c r="D2091" s="16">
        <f>E2091/C2091</f>
        <v>2769.5299401998959</v>
      </c>
      <c r="E2091" s="19">
        <f>2826.16*6*1.2*0.81663515754</f>
        <v>16617.179641199375</v>
      </c>
    </row>
    <row r="2092" spans="1:6" ht="11.25" customHeight="1" x14ac:dyDescent="0.2">
      <c r="A2092" s="8" t="s">
        <v>203</v>
      </c>
      <c r="B2092" s="9" t="s">
        <v>92</v>
      </c>
      <c r="C2092" s="16"/>
      <c r="D2092" s="16"/>
      <c r="E2092" s="19">
        <v>0</v>
      </c>
    </row>
    <row r="2093" spans="1:6" ht="15" customHeight="1" x14ac:dyDescent="0.2">
      <c r="A2093" s="5">
        <v>4</v>
      </c>
      <c r="B2093" s="6" t="s">
        <v>193</v>
      </c>
      <c r="C2093" s="16"/>
      <c r="D2093" s="16"/>
      <c r="E2093" s="17">
        <f>ROUND(F2094/1.1*0.1,2)</f>
        <v>333343.3</v>
      </c>
    </row>
    <row r="2094" spans="1:6" ht="18.75" customHeight="1" x14ac:dyDescent="0.2">
      <c r="A2094" s="10"/>
      <c r="B2094" s="11" t="s">
        <v>94</v>
      </c>
      <c r="C2094" s="21"/>
      <c r="D2094" s="21"/>
      <c r="E2094" s="17">
        <f>E2060+E2073+E2081+E2093</f>
        <v>3666776.2516411985</v>
      </c>
      <c r="F2094" s="25">
        <f>E2047*29.04*12</f>
        <v>3666776.2560000001</v>
      </c>
    </row>
    <row r="2095" spans="1:6" ht="15" customHeight="1" x14ac:dyDescent="0.25">
      <c r="A2095" s="10"/>
      <c r="B2095" s="11" t="s">
        <v>199</v>
      </c>
      <c r="C2095" s="21"/>
      <c r="D2095" s="21"/>
      <c r="E2095" s="22">
        <v>29.04</v>
      </c>
    </row>
    <row r="2096" spans="1:6" ht="10.95" customHeight="1" x14ac:dyDescent="0.2"/>
    <row r="2097" spans="1:5" ht="10.95" customHeight="1" x14ac:dyDescent="0.2"/>
    <row r="2098" spans="1:5" ht="10.95" customHeight="1" x14ac:dyDescent="0.2"/>
    <row r="2099" spans="1:5" ht="15" customHeight="1" x14ac:dyDescent="0.25">
      <c r="B2099" s="12" t="s">
        <v>96</v>
      </c>
    </row>
    <row r="2100" spans="1:5" ht="12" customHeight="1" x14ac:dyDescent="0.2"/>
    <row r="2101" spans="1:5" ht="13.2" customHeight="1" x14ac:dyDescent="0.25">
      <c r="B2101" s="3" t="s">
        <v>97</v>
      </c>
    </row>
    <row r="2102" spans="1:5" ht="7.95" customHeight="1" x14ac:dyDescent="0.2"/>
    <row r="2103" spans="1:5" ht="12" customHeight="1" x14ac:dyDescent="0.25">
      <c r="B2103" s="41" t="s">
        <v>100</v>
      </c>
      <c r="C2103" s="41"/>
      <c r="D2103" s="41"/>
      <c r="E2103" s="41"/>
    </row>
    <row r="2104" spans="1:5" ht="10.95" customHeight="1" x14ac:dyDescent="0.2"/>
    <row r="2105" spans="1:5" ht="10.95" customHeight="1" x14ac:dyDescent="0.2"/>
    <row r="2106" spans="1:5" ht="10.95" customHeight="1" x14ac:dyDescent="0.2"/>
    <row r="2107" spans="1:5" ht="16.2" customHeight="1" x14ac:dyDescent="0.2">
      <c r="A2107" s="39" t="s">
        <v>0</v>
      </c>
      <c r="B2107" s="39"/>
      <c r="C2107" s="39"/>
      <c r="D2107" s="39"/>
      <c r="E2107" s="39"/>
    </row>
    <row r="2108" spans="1:5" ht="10.95" customHeight="1" x14ac:dyDescent="0.2">
      <c r="A2108" s="40" t="s">
        <v>1</v>
      </c>
      <c r="B2108" s="40"/>
      <c r="C2108" s="40"/>
      <c r="D2108" s="40"/>
      <c r="E2108" s="40"/>
    </row>
    <row r="2109" spans="1:5" ht="13.2" customHeight="1" x14ac:dyDescent="0.2">
      <c r="A2109" s="40" t="s">
        <v>198</v>
      </c>
      <c r="B2109" s="40"/>
      <c r="C2109" s="40"/>
      <c r="D2109" s="40"/>
      <c r="E2109" s="40"/>
    </row>
    <row r="2110" spans="1:5" ht="10.95" customHeight="1" x14ac:dyDescent="0.2"/>
    <row r="2111" spans="1:5" ht="10.95" customHeight="1" x14ac:dyDescent="0.2">
      <c r="C2111" s="42" t="s">
        <v>3</v>
      </c>
      <c r="D2111" s="42"/>
      <c r="E2111" s="42"/>
    </row>
    <row r="2112" spans="1:5" ht="12" customHeight="1" x14ac:dyDescent="0.2">
      <c r="D2112" s="26" t="s">
        <v>4</v>
      </c>
      <c r="E2112" s="24">
        <v>7375.1</v>
      </c>
    </row>
    <row r="2113" spans="1:6" ht="12" customHeight="1" x14ac:dyDescent="0.2">
      <c r="D2113" s="26" t="s">
        <v>5</v>
      </c>
      <c r="E2113" s="23">
        <v>0</v>
      </c>
    </row>
    <row r="2114" spans="1:6" ht="12" customHeight="1" x14ac:dyDescent="0.2">
      <c r="D2114" s="26" t="s">
        <v>6</v>
      </c>
      <c r="E2114" s="30">
        <v>4</v>
      </c>
    </row>
    <row r="2115" spans="1:6" ht="12" customHeight="1" x14ac:dyDescent="0.2">
      <c r="D2115" s="26" t="s">
        <v>7</v>
      </c>
      <c r="E2115" s="30">
        <v>9</v>
      </c>
    </row>
    <row r="2116" spans="1:6" ht="12" customHeight="1" x14ac:dyDescent="0.2">
      <c r="D2116" s="26" t="s">
        <v>8</v>
      </c>
      <c r="E2116" s="30">
        <v>143</v>
      </c>
    </row>
    <row r="2117" spans="1:6" ht="12" customHeight="1" x14ac:dyDescent="0.2">
      <c r="D2117" s="26" t="s">
        <v>9</v>
      </c>
      <c r="E2117" s="30">
        <v>427</v>
      </c>
    </row>
    <row r="2118" spans="1:6" ht="12" customHeight="1" x14ac:dyDescent="0.2">
      <c r="D2118" s="26" t="s">
        <v>10</v>
      </c>
      <c r="E2118" s="30">
        <v>4</v>
      </c>
    </row>
    <row r="2119" spans="1:6" ht="12" customHeight="1" x14ac:dyDescent="0.2">
      <c r="D2119" s="26" t="s">
        <v>11</v>
      </c>
      <c r="E2119" s="30">
        <v>0</v>
      </c>
    </row>
    <row r="2120" spans="1:6" ht="12" customHeight="1" x14ac:dyDescent="0.2">
      <c r="D2120" s="26" t="s">
        <v>12</v>
      </c>
      <c r="E2120" s="30">
        <v>0</v>
      </c>
    </row>
    <row r="2121" spans="1:6" ht="12" customHeight="1" x14ac:dyDescent="0.2">
      <c r="D2121" s="26" t="s">
        <v>13</v>
      </c>
      <c r="E2121" s="30">
        <v>864</v>
      </c>
    </row>
    <row r="2122" spans="1:6" ht="12" customHeight="1" x14ac:dyDescent="0.25">
      <c r="A2122" s="2" t="s">
        <v>14</v>
      </c>
      <c r="B2122" s="3" t="s">
        <v>153</v>
      </c>
    </row>
    <row r="2123" spans="1:6" ht="10.95" customHeight="1" x14ac:dyDescent="0.2"/>
    <row r="2124" spans="1:6" ht="45" customHeight="1" x14ac:dyDescent="0.2">
      <c r="A2124" s="4" t="s">
        <v>15</v>
      </c>
      <c r="B2124" s="4" t="s">
        <v>131</v>
      </c>
      <c r="C2124" s="27" t="s">
        <v>17</v>
      </c>
      <c r="D2124" s="27" t="s">
        <v>103</v>
      </c>
      <c r="E2124" s="27" t="s">
        <v>19</v>
      </c>
    </row>
    <row r="2125" spans="1:6" ht="31.5" customHeight="1" x14ac:dyDescent="0.2">
      <c r="A2125" s="5">
        <v>1</v>
      </c>
      <c r="B2125" s="6" t="s">
        <v>190</v>
      </c>
      <c r="C2125" s="16"/>
      <c r="D2125" s="16"/>
      <c r="E2125" s="17">
        <f>E2126+E2133</f>
        <v>1354711.0860000001</v>
      </c>
    </row>
    <row r="2126" spans="1:6" ht="15" customHeight="1" x14ac:dyDescent="0.2">
      <c r="A2126" s="7" t="s">
        <v>21</v>
      </c>
      <c r="B2126" s="6" t="s">
        <v>132</v>
      </c>
      <c r="C2126" s="16"/>
      <c r="D2126" s="16"/>
      <c r="E2126" s="17">
        <f>SUM(E2127:E2132)</f>
        <v>606358.85</v>
      </c>
    </row>
    <row r="2127" spans="1:6" ht="11.25" customHeight="1" x14ac:dyDescent="0.2">
      <c r="A2127" s="15" t="s">
        <v>23</v>
      </c>
      <c r="B2127" s="9" t="s">
        <v>34</v>
      </c>
      <c r="C2127" s="16">
        <v>0.99</v>
      </c>
      <c r="D2127" s="16">
        <v>18781</v>
      </c>
      <c r="E2127" s="19">
        <f>ROUND(C2127*D2127,2)*12</f>
        <v>223118.27999999997</v>
      </c>
      <c r="F2127" s="20"/>
    </row>
    <row r="2128" spans="1:6" ht="11.25" customHeight="1" x14ac:dyDescent="0.2">
      <c r="A2128" s="8" t="s">
        <v>31</v>
      </c>
      <c r="B2128" s="9" t="s">
        <v>36</v>
      </c>
      <c r="C2128" s="16">
        <v>1</v>
      </c>
      <c r="D2128" s="16">
        <v>18781</v>
      </c>
      <c r="E2128" s="19">
        <f>ROUND(C2128*D2128,2)*12</f>
        <v>225372</v>
      </c>
    </row>
    <row r="2129" spans="1:6" ht="11.25" customHeight="1" x14ac:dyDescent="0.2">
      <c r="A2129" s="8" t="s">
        <v>121</v>
      </c>
      <c r="B2129" s="9" t="s">
        <v>38</v>
      </c>
      <c r="C2129" s="16">
        <v>30.2</v>
      </c>
      <c r="D2129" s="16">
        <f>E2127</f>
        <v>223118.27999999997</v>
      </c>
      <c r="E2129" s="19">
        <f>ROUND(C2129*D2129/100,2)</f>
        <v>67381.72</v>
      </c>
    </row>
    <row r="2130" spans="1:6" ht="11.25" customHeight="1" x14ac:dyDescent="0.2">
      <c r="A2130" s="8" t="s">
        <v>186</v>
      </c>
      <c r="B2130" s="9" t="s">
        <v>40</v>
      </c>
      <c r="C2130" s="16">
        <v>30.2</v>
      </c>
      <c r="D2130" s="16">
        <f>E2128</f>
        <v>225372</v>
      </c>
      <c r="E2130" s="19">
        <f>ROUND(C2130*D2130/100,2)</f>
        <v>68062.34</v>
      </c>
    </row>
    <row r="2131" spans="1:6" ht="11.25" customHeight="1" x14ac:dyDescent="0.2">
      <c r="A2131" s="8" t="s">
        <v>187</v>
      </c>
      <c r="B2131" s="9" t="s">
        <v>42</v>
      </c>
      <c r="C2131" s="16"/>
      <c r="D2131" s="16"/>
      <c r="E2131" s="19">
        <f>ROUND(E2127*0.05,2)</f>
        <v>11155.91</v>
      </c>
    </row>
    <row r="2132" spans="1:6" ht="11.25" customHeight="1" x14ac:dyDescent="0.2">
      <c r="A2132" s="8" t="s">
        <v>188</v>
      </c>
      <c r="B2132" s="9" t="s">
        <v>44</v>
      </c>
      <c r="C2132" s="16"/>
      <c r="D2132" s="16"/>
      <c r="E2132" s="19">
        <f>E2128*0.05</f>
        <v>11268.6</v>
      </c>
    </row>
    <row r="2133" spans="1:6" ht="15" customHeight="1" x14ac:dyDescent="0.2">
      <c r="A2133" s="7" t="s">
        <v>45</v>
      </c>
      <c r="B2133" s="6" t="s">
        <v>189</v>
      </c>
      <c r="C2133" s="16"/>
      <c r="D2133" s="16"/>
      <c r="E2133" s="17">
        <f>E2134+E2135+E2136+E2137</f>
        <v>748352.23600000003</v>
      </c>
    </row>
    <row r="2134" spans="1:6" ht="11.25" customHeight="1" x14ac:dyDescent="0.2">
      <c r="A2134" s="8" t="s">
        <v>47</v>
      </c>
      <c r="B2134" s="9" t="s">
        <v>48</v>
      </c>
      <c r="C2134" s="16">
        <v>2.0099999999999998</v>
      </c>
      <c r="D2134" s="16">
        <v>18781</v>
      </c>
      <c r="E2134" s="19">
        <f>ROUND(C2134*D2134,2)*12</f>
        <v>452997.72</v>
      </c>
      <c r="F2134" s="20"/>
    </row>
    <row r="2135" spans="1:6" ht="11.25" customHeight="1" x14ac:dyDescent="0.2">
      <c r="A2135" s="8" t="s">
        <v>49</v>
      </c>
      <c r="B2135" s="9" t="s">
        <v>50</v>
      </c>
      <c r="C2135" s="16">
        <v>30.2</v>
      </c>
      <c r="D2135" s="16">
        <f>E2134</f>
        <v>452997.72</v>
      </c>
      <c r="E2135" s="19">
        <f>ROUND(C2135*D2135/100,2)</f>
        <v>136805.31</v>
      </c>
    </row>
    <row r="2136" spans="1:6" ht="11.25" customHeight="1" x14ac:dyDescent="0.2">
      <c r="A2136" s="8" t="s">
        <v>51</v>
      </c>
      <c r="B2136" s="9" t="s">
        <v>52</v>
      </c>
      <c r="C2136" s="16"/>
      <c r="D2136" s="16"/>
      <c r="E2136" s="19">
        <f>ROUND(E2134*0.3,2)</f>
        <v>135899.32</v>
      </c>
    </row>
    <row r="2137" spans="1:6" ht="11.25" customHeight="1" x14ac:dyDescent="0.2">
      <c r="A2137" s="8" t="s">
        <v>53</v>
      </c>
      <c r="B2137" s="9" t="s">
        <v>54</v>
      </c>
      <c r="C2137" s="16"/>
      <c r="D2137" s="16"/>
      <c r="E2137" s="19">
        <f>E2134*0.05</f>
        <v>22649.885999999999</v>
      </c>
    </row>
    <row r="2138" spans="1:6" ht="20.100000000000001" customHeight="1" x14ac:dyDescent="0.2">
      <c r="A2138" s="5">
        <v>2</v>
      </c>
      <c r="B2138" s="6" t="s">
        <v>57</v>
      </c>
      <c r="C2138" s="16"/>
      <c r="D2138" s="16"/>
      <c r="E2138" s="17">
        <f>E2139+E2141+E2142+E2143+E2144+E2145+E2140</f>
        <v>673475.76</v>
      </c>
    </row>
    <row r="2139" spans="1:6" ht="11.25" customHeight="1" x14ac:dyDescent="0.2">
      <c r="A2139" s="35" t="s">
        <v>58</v>
      </c>
      <c r="B2139" s="9" t="s">
        <v>204</v>
      </c>
      <c r="C2139" s="16">
        <v>619.15</v>
      </c>
      <c r="D2139" s="16">
        <f>E2139/C2139</f>
        <v>177.97000726802875</v>
      </c>
      <c r="E2139" s="19">
        <v>110190.13</v>
      </c>
    </row>
    <row r="2140" spans="1:6" ht="11.25" customHeight="1" x14ac:dyDescent="0.2">
      <c r="A2140" s="35" t="s">
        <v>60</v>
      </c>
      <c r="B2140" s="9" t="s">
        <v>195</v>
      </c>
      <c r="C2140" s="16">
        <v>619.15</v>
      </c>
      <c r="D2140" s="16">
        <f>E2140/C2140</f>
        <v>219.63343293224585</v>
      </c>
      <c r="E2140" s="19">
        <v>135986.04</v>
      </c>
    </row>
    <row r="2141" spans="1:6" ht="11.25" customHeight="1" x14ac:dyDescent="0.2">
      <c r="A2141" s="35" t="s">
        <v>62</v>
      </c>
      <c r="B2141" s="9" t="s">
        <v>196</v>
      </c>
      <c r="C2141" s="16">
        <v>196.42</v>
      </c>
      <c r="D2141" s="16">
        <f>E2141/C2141</f>
        <v>848.40123205376244</v>
      </c>
      <c r="E2141" s="19">
        <v>166642.97</v>
      </c>
    </row>
    <row r="2142" spans="1:6" ht="11.25" customHeight="1" x14ac:dyDescent="0.2">
      <c r="A2142" s="35" t="s">
        <v>64</v>
      </c>
      <c r="B2142" s="9" t="s">
        <v>63</v>
      </c>
      <c r="C2142" s="16">
        <f>E2142/D2142</f>
        <v>29763.124314442415</v>
      </c>
      <c r="D2142" s="16">
        <v>5.47</v>
      </c>
      <c r="E2142" s="19">
        <f>147690+1247.16+13867.13</f>
        <v>162804.29</v>
      </c>
      <c r="F2142" s="20"/>
    </row>
    <row r="2143" spans="1:6" ht="11.25" customHeight="1" x14ac:dyDescent="0.2">
      <c r="A2143" s="35" t="s">
        <v>66</v>
      </c>
      <c r="B2143" s="9" t="s">
        <v>65</v>
      </c>
      <c r="C2143" s="16">
        <f>E2143/D2143</f>
        <v>1120.1656144472176</v>
      </c>
      <c r="D2143" s="16">
        <v>68.11</v>
      </c>
      <c r="E2143" s="19">
        <v>76294.48</v>
      </c>
    </row>
    <row r="2144" spans="1:6" ht="11.25" customHeight="1" x14ac:dyDescent="0.2">
      <c r="A2144" s="35" t="s">
        <v>68</v>
      </c>
      <c r="B2144" s="9" t="s">
        <v>69</v>
      </c>
      <c r="C2144" s="16">
        <v>1120.7</v>
      </c>
      <c r="D2144" s="16">
        <f>E2144/C2144</f>
        <v>3.3499955385027214</v>
      </c>
      <c r="E2144" s="19">
        <v>3754.34</v>
      </c>
    </row>
    <row r="2145" spans="1:6" ht="11.25" customHeight="1" x14ac:dyDescent="0.2">
      <c r="A2145" s="35" t="s">
        <v>70</v>
      </c>
      <c r="B2145" s="9" t="s">
        <v>71</v>
      </c>
      <c r="C2145" s="16">
        <v>94.68</v>
      </c>
      <c r="D2145" s="16">
        <f>E2145/C2145</f>
        <v>188.03876214617657</v>
      </c>
      <c r="E2145" s="19">
        <v>17803.509999999998</v>
      </c>
    </row>
    <row r="2146" spans="1:6" ht="20.100000000000001" customHeight="1" x14ac:dyDescent="0.2">
      <c r="A2146" s="5">
        <v>3</v>
      </c>
      <c r="B2146" s="6" t="s">
        <v>72</v>
      </c>
      <c r="C2146" s="16"/>
      <c r="D2146" s="16"/>
      <c r="E2146" s="17">
        <f>E2147+E2148+E2149+E2150+E2151+E2152+E2153+E2154+E2155+E2157+E2156</f>
        <v>308244.8358803998</v>
      </c>
    </row>
    <row r="2147" spans="1:6" ht="11.25" customHeight="1" x14ac:dyDescent="0.2">
      <c r="A2147" s="8" t="s">
        <v>73</v>
      </c>
      <c r="B2147" s="9" t="s">
        <v>74</v>
      </c>
      <c r="C2147" s="34">
        <v>4</v>
      </c>
      <c r="D2147" s="16">
        <f>E2147/C2147/12</f>
        <v>3192.7320833333338</v>
      </c>
      <c r="E2147" s="19">
        <v>153251.14000000001</v>
      </c>
    </row>
    <row r="2148" spans="1:6" ht="11.25" customHeight="1" x14ac:dyDescent="0.2">
      <c r="A2148" s="8" t="s">
        <v>75</v>
      </c>
      <c r="B2148" s="9" t="s">
        <v>76</v>
      </c>
      <c r="C2148" s="16"/>
      <c r="D2148" s="16"/>
      <c r="E2148" s="19">
        <v>0</v>
      </c>
    </row>
    <row r="2149" spans="1:6" ht="11.25" customHeight="1" x14ac:dyDescent="0.2">
      <c r="A2149" s="8" t="s">
        <v>77</v>
      </c>
      <c r="B2149" s="9" t="s">
        <v>78</v>
      </c>
      <c r="C2149" s="16"/>
      <c r="D2149" s="16"/>
      <c r="E2149" s="19">
        <v>0</v>
      </c>
    </row>
    <row r="2150" spans="1:6" ht="11.25" customHeight="1" x14ac:dyDescent="0.2">
      <c r="A2150" s="8" t="s">
        <v>79</v>
      </c>
      <c r="B2150" s="9" t="s">
        <v>80</v>
      </c>
      <c r="C2150" s="16">
        <v>7375.1</v>
      </c>
      <c r="D2150" s="16">
        <f>E2150/C2150</f>
        <v>4.150069829561633</v>
      </c>
      <c r="E2150" s="19">
        <v>30607.18</v>
      </c>
    </row>
    <row r="2151" spans="1:6" ht="11.25" customHeight="1" x14ac:dyDescent="0.2">
      <c r="A2151" s="8" t="s">
        <v>81</v>
      </c>
      <c r="B2151" s="9" t="s">
        <v>82</v>
      </c>
      <c r="C2151" s="16">
        <v>286</v>
      </c>
      <c r="D2151" s="16">
        <f>E2151/C2151</f>
        <v>71.722552447552459</v>
      </c>
      <c r="E2151" s="19">
        <v>20512.650000000001</v>
      </c>
    </row>
    <row r="2152" spans="1:6" ht="11.25" customHeight="1" x14ac:dyDescent="0.2">
      <c r="A2152" s="8" t="s">
        <v>83</v>
      </c>
      <c r="B2152" s="9" t="s">
        <v>194</v>
      </c>
      <c r="C2152" s="34">
        <v>143</v>
      </c>
      <c r="D2152" s="16">
        <f>E2152/C2152</f>
        <v>87.010489510489506</v>
      </c>
      <c r="E2152" s="19">
        <v>12442.5</v>
      </c>
    </row>
    <row r="2153" spans="1:6" ht="11.25" customHeight="1" x14ac:dyDescent="0.2">
      <c r="A2153" s="8" t="s">
        <v>85</v>
      </c>
      <c r="B2153" s="9" t="s">
        <v>86</v>
      </c>
      <c r="C2153" s="16">
        <v>0.2</v>
      </c>
      <c r="D2153" s="16">
        <f>E2153/C2153</f>
        <v>19206.25</v>
      </c>
      <c r="E2153" s="19">
        <v>3841.25</v>
      </c>
    </row>
    <row r="2154" spans="1:6" ht="11.25" customHeight="1" x14ac:dyDescent="0.2">
      <c r="A2154" s="8" t="s">
        <v>87</v>
      </c>
      <c r="B2154" s="9" t="s">
        <v>88</v>
      </c>
      <c r="C2154" s="34">
        <v>143</v>
      </c>
      <c r="D2154" s="16">
        <f>E2154/C2154</f>
        <v>544.0262937062937</v>
      </c>
      <c r="E2154" s="19">
        <v>77795.759999999995</v>
      </c>
    </row>
    <row r="2155" spans="1:6" ht="11.25" customHeight="1" x14ac:dyDescent="0.2">
      <c r="A2155" s="8" t="s">
        <v>89</v>
      </c>
      <c r="B2155" s="9" t="s">
        <v>90</v>
      </c>
      <c r="C2155" s="16"/>
      <c r="D2155" s="16"/>
      <c r="E2155" s="19">
        <v>0</v>
      </c>
    </row>
    <row r="2156" spans="1:6" ht="11.25" customHeight="1" x14ac:dyDescent="0.2">
      <c r="A2156" s="8" t="s">
        <v>91</v>
      </c>
      <c r="B2156" s="9" t="s">
        <v>202</v>
      </c>
      <c r="C2156" s="34">
        <v>4</v>
      </c>
      <c r="D2156" s="16">
        <f>E2156/C2156</f>
        <v>2448.5889700999478</v>
      </c>
      <c r="E2156" s="19">
        <f>1773.04*2*1.2+2826.16*2*1.2*0.81663515754</f>
        <v>9794.3558803997912</v>
      </c>
    </row>
    <row r="2157" spans="1:6" ht="11.25" customHeight="1" x14ac:dyDescent="0.2">
      <c r="A2157" s="8" t="s">
        <v>203</v>
      </c>
      <c r="B2157" s="9" t="s">
        <v>92</v>
      </c>
      <c r="C2157" s="16"/>
      <c r="D2157" s="16"/>
      <c r="E2157" s="19">
        <v>0</v>
      </c>
    </row>
    <row r="2158" spans="1:6" ht="15" customHeight="1" x14ac:dyDescent="0.2">
      <c r="A2158" s="5">
        <v>4</v>
      </c>
      <c r="B2158" s="6" t="s">
        <v>193</v>
      </c>
      <c r="C2158" s="16"/>
      <c r="D2158" s="16"/>
      <c r="E2158" s="17">
        <f>F2159/1.1*0.1</f>
        <v>233643.16800000003</v>
      </c>
    </row>
    <row r="2159" spans="1:6" ht="18.75" customHeight="1" x14ac:dyDescent="0.2">
      <c r="A2159" s="10"/>
      <c r="B2159" s="11" t="s">
        <v>94</v>
      </c>
      <c r="C2159" s="21"/>
      <c r="D2159" s="21"/>
      <c r="E2159" s="17">
        <f>E2125+E2138+E2146+E2158</f>
        <v>2570074.8498804001</v>
      </c>
      <c r="F2159" s="25">
        <f>E2112*29.04*12</f>
        <v>2570074.8480000002</v>
      </c>
    </row>
    <row r="2160" spans="1:6" ht="15" customHeight="1" x14ac:dyDescent="0.25">
      <c r="A2160" s="10"/>
      <c r="B2160" s="11" t="s">
        <v>199</v>
      </c>
      <c r="C2160" s="21"/>
      <c r="D2160" s="21"/>
      <c r="E2160" s="22">
        <v>29.04</v>
      </c>
    </row>
    <row r="2161" spans="1:5" ht="10.95" customHeight="1" x14ac:dyDescent="0.2"/>
    <row r="2162" spans="1:5" ht="10.95" customHeight="1" x14ac:dyDescent="0.2"/>
    <row r="2163" spans="1:5" ht="10.95" customHeight="1" x14ac:dyDescent="0.2"/>
    <row r="2164" spans="1:5" ht="15" customHeight="1" x14ac:dyDescent="0.25">
      <c r="B2164" s="12" t="s">
        <v>96</v>
      </c>
    </row>
    <row r="2165" spans="1:5" ht="12" customHeight="1" x14ac:dyDescent="0.2"/>
    <row r="2166" spans="1:5" ht="13.2" customHeight="1" x14ac:dyDescent="0.25">
      <c r="B2166" s="3" t="s">
        <v>97</v>
      </c>
    </row>
    <row r="2167" spans="1:5" ht="7.95" customHeight="1" x14ac:dyDescent="0.2"/>
    <row r="2168" spans="1:5" ht="12" customHeight="1" x14ac:dyDescent="0.25">
      <c r="B2168" s="41" t="s">
        <v>100</v>
      </c>
      <c r="C2168" s="41"/>
      <c r="D2168" s="41"/>
      <c r="E2168" s="41"/>
    </row>
    <row r="2169" spans="1:5" ht="10.95" customHeight="1" x14ac:dyDescent="0.2"/>
    <row r="2170" spans="1:5" ht="10.95" customHeight="1" x14ac:dyDescent="0.2"/>
    <row r="2171" spans="1:5" ht="10.95" customHeight="1" x14ac:dyDescent="0.2"/>
    <row r="2172" spans="1:5" ht="16.2" customHeight="1" x14ac:dyDescent="0.2">
      <c r="A2172" s="39" t="s">
        <v>0</v>
      </c>
      <c r="B2172" s="39"/>
      <c r="C2172" s="39"/>
      <c r="D2172" s="39"/>
      <c r="E2172" s="39"/>
    </row>
    <row r="2173" spans="1:5" ht="10.95" customHeight="1" x14ac:dyDescent="0.2">
      <c r="A2173" s="40" t="s">
        <v>1</v>
      </c>
      <c r="B2173" s="40"/>
      <c r="C2173" s="40"/>
      <c r="D2173" s="40"/>
      <c r="E2173" s="40"/>
    </row>
    <row r="2174" spans="1:5" ht="13.2" customHeight="1" x14ac:dyDescent="0.2">
      <c r="A2174" s="40" t="s">
        <v>198</v>
      </c>
      <c r="B2174" s="40"/>
      <c r="C2174" s="40"/>
      <c r="D2174" s="40"/>
      <c r="E2174" s="40"/>
    </row>
    <row r="2175" spans="1:5" ht="10.95" customHeight="1" x14ac:dyDescent="0.2"/>
    <row r="2176" spans="1:5" ht="10.95" customHeight="1" x14ac:dyDescent="0.2">
      <c r="C2176" s="42" t="s">
        <v>3</v>
      </c>
      <c r="D2176" s="42"/>
      <c r="E2176" s="42"/>
    </row>
    <row r="2177" spans="1:6" ht="12" customHeight="1" x14ac:dyDescent="0.2">
      <c r="D2177" s="26" t="s">
        <v>4</v>
      </c>
      <c r="E2177" s="24">
        <v>12615.2</v>
      </c>
    </row>
    <row r="2178" spans="1:6" ht="12" customHeight="1" x14ac:dyDescent="0.2">
      <c r="D2178" s="26" t="s">
        <v>5</v>
      </c>
      <c r="E2178" s="23">
        <v>0</v>
      </c>
    </row>
    <row r="2179" spans="1:6" ht="12" customHeight="1" x14ac:dyDescent="0.2">
      <c r="D2179" s="26" t="s">
        <v>6</v>
      </c>
      <c r="E2179" s="30">
        <v>7</v>
      </c>
    </row>
    <row r="2180" spans="1:6" ht="12" customHeight="1" x14ac:dyDescent="0.2">
      <c r="D2180" s="26" t="s">
        <v>7</v>
      </c>
      <c r="E2180" s="30">
        <v>9</v>
      </c>
    </row>
    <row r="2181" spans="1:6" ht="12" customHeight="1" x14ac:dyDescent="0.2">
      <c r="D2181" s="26" t="s">
        <v>8</v>
      </c>
      <c r="E2181" s="30">
        <v>251</v>
      </c>
    </row>
    <row r="2182" spans="1:6" ht="12" customHeight="1" x14ac:dyDescent="0.2">
      <c r="D2182" s="26" t="s">
        <v>9</v>
      </c>
      <c r="E2182" s="30">
        <v>581</v>
      </c>
    </row>
    <row r="2183" spans="1:6" ht="12" customHeight="1" x14ac:dyDescent="0.2">
      <c r="D2183" s="26" t="s">
        <v>10</v>
      </c>
      <c r="E2183" s="30">
        <v>7</v>
      </c>
    </row>
    <row r="2184" spans="1:6" ht="12" customHeight="1" x14ac:dyDescent="0.2">
      <c r="D2184" s="26" t="s">
        <v>11</v>
      </c>
      <c r="E2184" s="30">
        <v>0</v>
      </c>
    </row>
    <row r="2185" spans="1:6" ht="12" customHeight="1" x14ac:dyDescent="0.2">
      <c r="D2185" s="26" t="s">
        <v>12</v>
      </c>
      <c r="E2185" s="30">
        <v>0</v>
      </c>
    </row>
    <row r="2186" spans="1:6" ht="12" customHeight="1" x14ac:dyDescent="0.2">
      <c r="D2186" s="26" t="s">
        <v>13</v>
      </c>
      <c r="E2186" s="30">
        <v>1536</v>
      </c>
    </row>
    <row r="2187" spans="1:6" ht="12" customHeight="1" x14ac:dyDescent="0.25">
      <c r="A2187" s="2" t="s">
        <v>14</v>
      </c>
      <c r="B2187" s="3" t="s">
        <v>154</v>
      </c>
    </row>
    <row r="2188" spans="1:6" ht="10.95" customHeight="1" x14ac:dyDescent="0.2"/>
    <row r="2189" spans="1:6" ht="45" customHeight="1" x14ac:dyDescent="0.2">
      <c r="A2189" s="4" t="s">
        <v>15</v>
      </c>
      <c r="B2189" s="4" t="s">
        <v>131</v>
      </c>
      <c r="C2189" s="27" t="s">
        <v>17</v>
      </c>
      <c r="D2189" s="27" t="s">
        <v>103</v>
      </c>
      <c r="E2189" s="27" t="s">
        <v>19</v>
      </c>
    </row>
    <row r="2190" spans="1:6" ht="31.5" customHeight="1" x14ac:dyDescent="0.2">
      <c r="A2190" s="5">
        <v>1</v>
      </c>
      <c r="B2190" s="6" t="s">
        <v>190</v>
      </c>
      <c r="C2190" s="16"/>
      <c r="D2190" s="16"/>
      <c r="E2190" s="17">
        <f>E2191+E2198</f>
        <v>2457253.4519999996</v>
      </c>
    </row>
    <row r="2191" spans="1:6" ht="15" customHeight="1" x14ac:dyDescent="0.2">
      <c r="A2191" s="7" t="s">
        <v>21</v>
      </c>
      <c r="B2191" s="6" t="s">
        <v>132</v>
      </c>
      <c r="C2191" s="16"/>
      <c r="D2191" s="16"/>
      <c r="E2191" s="17">
        <f>SUM(E2192:E2197)</f>
        <v>982671.50199999986</v>
      </c>
    </row>
    <row r="2192" spans="1:6" ht="11.25" customHeight="1" x14ac:dyDescent="0.2">
      <c r="A2192" s="15" t="s">
        <v>23</v>
      </c>
      <c r="B2192" s="9" t="s">
        <v>34</v>
      </c>
      <c r="C2192" s="16">
        <v>1.75</v>
      </c>
      <c r="D2192" s="16">
        <v>18781</v>
      </c>
      <c r="E2192" s="19">
        <f>ROUND(C2192*D2192,2)*12</f>
        <v>394401</v>
      </c>
      <c r="F2192" s="20"/>
    </row>
    <row r="2193" spans="1:6" ht="11.25" customHeight="1" x14ac:dyDescent="0.2">
      <c r="A2193" s="8" t="s">
        <v>31</v>
      </c>
      <c r="B2193" s="9" t="s">
        <v>36</v>
      </c>
      <c r="C2193" s="16">
        <v>1.36</v>
      </c>
      <c r="D2193" s="16">
        <v>18781</v>
      </c>
      <c r="E2193" s="19">
        <f>ROUND(C2193*D2193,2)*12</f>
        <v>306505.92</v>
      </c>
    </row>
    <row r="2194" spans="1:6" ht="11.25" customHeight="1" x14ac:dyDescent="0.2">
      <c r="A2194" s="8" t="s">
        <v>121</v>
      </c>
      <c r="B2194" s="9" t="s">
        <v>38</v>
      </c>
      <c r="C2194" s="16">
        <v>30.2</v>
      </c>
      <c r="D2194" s="16">
        <f>E2192</f>
        <v>394401</v>
      </c>
      <c r="E2194" s="19">
        <f>ROUND(C2194*D2194/100,2)</f>
        <v>119109.1</v>
      </c>
    </row>
    <row r="2195" spans="1:6" ht="11.25" customHeight="1" x14ac:dyDescent="0.2">
      <c r="A2195" s="8" t="s">
        <v>186</v>
      </c>
      <c r="B2195" s="9" t="s">
        <v>40</v>
      </c>
      <c r="C2195" s="16">
        <v>30.2</v>
      </c>
      <c r="D2195" s="16">
        <f>E2193</f>
        <v>306505.92</v>
      </c>
      <c r="E2195" s="19">
        <f>ROUND(C2195*D2195/100,2)</f>
        <v>92564.79</v>
      </c>
    </row>
    <row r="2196" spans="1:6" ht="11.25" customHeight="1" x14ac:dyDescent="0.2">
      <c r="A2196" s="8" t="s">
        <v>187</v>
      </c>
      <c r="B2196" s="9" t="s">
        <v>42</v>
      </c>
      <c r="C2196" s="16"/>
      <c r="D2196" s="16"/>
      <c r="E2196" s="19">
        <f>ROUND(E2192*0.1,2)</f>
        <v>39440.1</v>
      </c>
    </row>
    <row r="2197" spans="1:6" ht="11.25" customHeight="1" x14ac:dyDescent="0.2">
      <c r="A2197" s="8" t="s">
        <v>188</v>
      </c>
      <c r="B2197" s="9" t="s">
        <v>44</v>
      </c>
      <c r="C2197" s="16"/>
      <c r="D2197" s="16"/>
      <c r="E2197" s="19">
        <f>E2193*0.1</f>
        <v>30650.592000000001</v>
      </c>
    </row>
    <row r="2198" spans="1:6" ht="15" customHeight="1" x14ac:dyDescent="0.2">
      <c r="A2198" s="7" t="s">
        <v>45</v>
      </c>
      <c r="B2198" s="6" t="s">
        <v>189</v>
      </c>
      <c r="C2198" s="16"/>
      <c r="D2198" s="16"/>
      <c r="E2198" s="17">
        <f>E2199+E2200+E2201+E2202</f>
        <v>1474581.95</v>
      </c>
    </row>
    <row r="2199" spans="1:6" ht="11.25" customHeight="1" x14ac:dyDescent="0.2">
      <c r="A2199" s="8" t="s">
        <v>47</v>
      </c>
      <c r="B2199" s="9" t="s">
        <v>48</v>
      </c>
      <c r="C2199" s="16">
        <v>3.44</v>
      </c>
      <c r="D2199" s="16">
        <v>18781</v>
      </c>
      <c r="E2199" s="19">
        <f>ROUND(C2199*D2199,2)*12</f>
        <v>775279.67999999993</v>
      </c>
      <c r="F2199" s="20"/>
    </row>
    <row r="2200" spans="1:6" ht="11.25" customHeight="1" x14ac:dyDescent="0.2">
      <c r="A2200" s="8" t="s">
        <v>49</v>
      </c>
      <c r="B2200" s="9" t="s">
        <v>50</v>
      </c>
      <c r="C2200" s="16">
        <v>30.2</v>
      </c>
      <c r="D2200" s="16">
        <f>E2199</f>
        <v>775279.67999999993</v>
      </c>
      <c r="E2200" s="19">
        <f>ROUND(C2200*D2200/100,2)</f>
        <v>234134.46</v>
      </c>
    </row>
    <row r="2201" spans="1:6" ht="11.25" customHeight="1" x14ac:dyDescent="0.2">
      <c r="A2201" s="8" t="s">
        <v>51</v>
      </c>
      <c r="B2201" s="9" t="s">
        <v>52</v>
      </c>
      <c r="C2201" s="16"/>
      <c r="D2201" s="16"/>
      <c r="E2201" s="19">
        <f>ROUND(E2199*0.5,2)</f>
        <v>387639.84</v>
      </c>
    </row>
    <row r="2202" spans="1:6" ht="11.25" customHeight="1" x14ac:dyDescent="0.2">
      <c r="A2202" s="8" t="s">
        <v>53</v>
      </c>
      <c r="B2202" s="9" t="s">
        <v>54</v>
      </c>
      <c r="C2202" s="16"/>
      <c r="D2202" s="16"/>
      <c r="E2202" s="19">
        <f>ROUND(E2199*0.1,2)</f>
        <v>77527.97</v>
      </c>
    </row>
    <row r="2203" spans="1:6" ht="20.100000000000001" customHeight="1" x14ac:dyDescent="0.2">
      <c r="A2203" s="5">
        <v>2</v>
      </c>
      <c r="B2203" s="6" t="s">
        <v>57</v>
      </c>
      <c r="C2203" s="16"/>
      <c r="D2203" s="16"/>
      <c r="E2203" s="17">
        <f>E2204+E2206+E2207+E2208+E2209+E2210+E2205</f>
        <v>1029538.19</v>
      </c>
    </row>
    <row r="2204" spans="1:6" ht="11.25" customHeight="1" x14ac:dyDescent="0.2">
      <c r="A2204" s="35" t="s">
        <v>58</v>
      </c>
      <c r="B2204" s="9" t="s">
        <v>204</v>
      </c>
      <c r="C2204" s="16">
        <v>842.45</v>
      </c>
      <c r="D2204" s="16">
        <f>E2204/C2204</f>
        <v>177.9700041545492</v>
      </c>
      <c r="E2204" s="19">
        <v>149930.82999999999</v>
      </c>
    </row>
    <row r="2205" spans="1:6" ht="11.25" customHeight="1" x14ac:dyDescent="0.2">
      <c r="A2205" s="35" t="s">
        <v>60</v>
      </c>
      <c r="B2205" s="9" t="s">
        <v>195</v>
      </c>
      <c r="C2205" s="16">
        <v>842.45</v>
      </c>
      <c r="D2205" s="16">
        <f>E2205/C2205</f>
        <v>219.6334381862425</v>
      </c>
      <c r="E2205" s="19">
        <v>185030.19</v>
      </c>
    </row>
    <row r="2206" spans="1:6" ht="11.25" customHeight="1" x14ac:dyDescent="0.2">
      <c r="A2206" s="35" t="s">
        <v>62</v>
      </c>
      <c r="B2206" s="9" t="s">
        <v>196</v>
      </c>
      <c r="C2206" s="16">
        <v>267.26</v>
      </c>
      <c r="D2206" s="16">
        <f>E2206/C2206</f>
        <v>848.40125720272397</v>
      </c>
      <c r="E2206" s="19">
        <v>226743.72</v>
      </c>
    </row>
    <row r="2207" spans="1:6" ht="11.25" customHeight="1" x14ac:dyDescent="0.2">
      <c r="A2207" s="35" t="s">
        <v>64</v>
      </c>
      <c r="B2207" s="9" t="s">
        <v>63</v>
      </c>
      <c r="C2207" s="16">
        <f>E2207/D2207</f>
        <v>53864.140767824494</v>
      </c>
      <c r="D2207" s="16">
        <v>5.47</v>
      </c>
      <c r="E2207" s="19">
        <f>196920+73449.37+24267.48</f>
        <v>294636.84999999998</v>
      </c>
      <c r="F2207" s="20"/>
    </row>
    <row r="2208" spans="1:6" ht="11.25" customHeight="1" x14ac:dyDescent="0.2">
      <c r="A2208" s="35" t="s">
        <v>66</v>
      </c>
      <c r="B2208" s="9" t="s">
        <v>65</v>
      </c>
      <c r="C2208" s="16">
        <f>E2208/D2208</f>
        <v>1990.3030392012922</v>
      </c>
      <c r="D2208" s="16">
        <v>68.11</v>
      </c>
      <c r="E2208" s="19">
        <v>135559.54</v>
      </c>
    </row>
    <row r="2209" spans="1:6" ht="11.25" customHeight="1" x14ac:dyDescent="0.2">
      <c r="A2209" s="35" t="s">
        <v>68</v>
      </c>
      <c r="B2209" s="9" t="s">
        <v>69</v>
      </c>
      <c r="C2209" s="16">
        <v>1934.6</v>
      </c>
      <c r="D2209" s="16">
        <f>E2209/C2209</f>
        <v>3.35</v>
      </c>
      <c r="E2209" s="19">
        <v>6480.91</v>
      </c>
    </row>
    <row r="2210" spans="1:6" ht="11.25" customHeight="1" x14ac:dyDescent="0.2">
      <c r="A2210" s="35" t="s">
        <v>70</v>
      </c>
      <c r="B2210" s="9" t="s">
        <v>71</v>
      </c>
      <c r="C2210" s="16">
        <v>165.69</v>
      </c>
      <c r="D2210" s="16">
        <f>E2210/C2210</f>
        <v>188.03880741143101</v>
      </c>
      <c r="E2210" s="19">
        <v>31156.15</v>
      </c>
    </row>
    <row r="2211" spans="1:6" ht="20.100000000000001" customHeight="1" x14ac:dyDescent="0.2">
      <c r="A2211" s="5">
        <v>3</v>
      </c>
      <c r="B2211" s="6" t="s">
        <v>72</v>
      </c>
      <c r="C2211" s="16"/>
      <c r="D2211" s="16"/>
      <c r="E2211" s="17">
        <f>E2212+E2213+E2214+E2215+E2216+E2217+E2218+E2219+E2220+E2222+E2221</f>
        <v>509703.71958139929</v>
      </c>
    </row>
    <row r="2212" spans="1:6" ht="11.25" customHeight="1" x14ac:dyDescent="0.2">
      <c r="A2212" s="8" t="s">
        <v>73</v>
      </c>
      <c r="B2212" s="9" t="s">
        <v>74</v>
      </c>
      <c r="C2212" s="34">
        <v>7</v>
      </c>
      <c r="D2212" s="16">
        <f>E2212/C2212/12</f>
        <v>2935.2959523809518</v>
      </c>
      <c r="E2212" s="19">
        <v>246564.86</v>
      </c>
    </row>
    <row r="2213" spans="1:6" ht="11.25" customHeight="1" x14ac:dyDescent="0.2">
      <c r="A2213" s="8" t="s">
        <v>75</v>
      </c>
      <c r="B2213" s="9" t="s">
        <v>76</v>
      </c>
      <c r="C2213" s="16"/>
      <c r="D2213" s="16"/>
      <c r="E2213" s="19">
        <v>0</v>
      </c>
    </row>
    <row r="2214" spans="1:6" ht="11.25" customHeight="1" x14ac:dyDescent="0.2">
      <c r="A2214" s="8" t="s">
        <v>77</v>
      </c>
      <c r="B2214" s="9" t="s">
        <v>78</v>
      </c>
      <c r="C2214" s="16"/>
      <c r="D2214" s="16"/>
      <c r="E2214" s="19">
        <v>0</v>
      </c>
    </row>
    <row r="2215" spans="1:6" ht="11.25" customHeight="1" x14ac:dyDescent="0.2">
      <c r="A2215" s="8" t="s">
        <v>79</v>
      </c>
      <c r="B2215" s="9" t="s">
        <v>80</v>
      </c>
      <c r="C2215" s="16">
        <v>12615.2</v>
      </c>
      <c r="D2215" s="16">
        <f>E2215/C2215</f>
        <v>4.1500689644238689</v>
      </c>
      <c r="E2215" s="19">
        <v>52353.95</v>
      </c>
    </row>
    <row r="2216" spans="1:6" ht="11.25" customHeight="1" x14ac:dyDescent="0.2">
      <c r="A2216" s="8" t="s">
        <v>81</v>
      </c>
      <c r="B2216" s="9" t="s">
        <v>82</v>
      </c>
      <c r="C2216" s="34">
        <v>502</v>
      </c>
      <c r="D2216" s="16">
        <f>E2216/C2216</f>
        <v>71.702729083665332</v>
      </c>
      <c r="E2216" s="19">
        <v>35994.769999999997</v>
      </c>
    </row>
    <row r="2217" spans="1:6" ht="11.25" customHeight="1" x14ac:dyDescent="0.2">
      <c r="A2217" s="8" t="s">
        <v>83</v>
      </c>
      <c r="B2217" s="9" t="s">
        <v>194</v>
      </c>
      <c r="C2217" s="34">
        <v>251</v>
      </c>
      <c r="D2217" s="16">
        <f>E2217/C2217</f>
        <v>86.742071713147411</v>
      </c>
      <c r="E2217" s="19">
        <v>21772.26</v>
      </c>
    </row>
    <row r="2218" spans="1:6" ht="11.25" customHeight="1" x14ac:dyDescent="0.2">
      <c r="A2218" s="8" t="s">
        <v>85</v>
      </c>
      <c r="B2218" s="9" t="s">
        <v>86</v>
      </c>
      <c r="C2218" s="34"/>
      <c r="D2218" s="16"/>
      <c r="E2218" s="19">
        <v>0</v>
      </c>
    </row>
    <row r="2219" spans="1:6" ht="11.25" customHeight="1" x14ac:dyDescent="0.2">
      <c r="A2219" s="8" t="s">
        <v>87</v>
      </c>
      <c r="B2219" s="9" t="s">
        <v>88</v>
      </c>
      <c r="C2219" s="34">
        <v>250</v>
      </c>
      <c r="D2219" s="16">
        <f>E2219/C2219</f>
        <v>534.5246800000001</v>
      </c>
      <c r="E2219" s="19">
        <v>133631.17000000001</v>
      </c>
    </row>
    <row r="2220" spans="1:6" ht="11.25" customHeight="1" x14ac:dyDescent="0.2">
      <c r="A2220" s="8" t="s">
        <v>89</v>
      </c>
      <c r="B2220" s="9" t="s">
        <v>90</v>
      </c>
      <c r="C2220" s="16"/>
      <c r="D2220" s="16"/>
      <c r="E2220" s="19">
        <v>0</v>
      </c>
    </row>
    <row r="2221" spans="1:6" ht="11.25" customHeight="1" x14ac:dyDescent="0.2">
      <c r="A2221" s="8" t="s">
        <v>91</v>
      </c>
      <c r="B2221" s="9" t="s">
        <v>202</v>
      </c>
      <c r="C2221" s="34">
        <v>7</v>
      </c>
      <c r="D2221" s="16">
        <f>E2221/C2221</f>
        <v>2769.5299401998959</v>
      </c>
      <c r="E2221" s="19">
        <f>2826.16*7*1.2*0.81663515754</f>
        <v>19386.709581399271</v>
      </c>
    </row>
    <row r="2222" spans="1:6" ht="11.25" customHeight="1" x14ac:dyDescent="0.2">
      <c r="A2222" s="8" t="s">
        <v>203</v>
      </c>
      <c r="B2222" s="9" t="s">
        <v>92</v>
      </c>
      <c r="C2222" s="16"/>
      <c r="D2222" s="16"/>
      <c r="E2222" s="19">
        <v>0</v>
      </c>
    </row>
    <row r="2223" spans="1:6" ht="15" customHeight="1" x14ac:dyDescent="0.2">
      <c r="A2223" s="5">
        <v>4</v>
      </c>
      <c r="B2223" s="6" t="s">
        <v>193</v>
      </c>
      <c r="C2223" s="16"/>
      <c r="D2223" s="16"/>
      <c r="E2223" s="17">
        <f>F2224/1.1*0.1</f>
        <v>399649.53599999996</v>
      </c>
    </row>
    <row r="2224" spans="1:6" ht="18.75" customHeight="1" x14ac:dyDescent="0.2">
      <c r="A2224" s="10"/>
      <c r="B2224" s="11" t="s">
        <v>94</v>
      </c>
      <c r="C2224" s="21"/>
      <c r="D2224" s="21"/>
      <c r="E2224" s="17">
        <f>E2190+E2203+E2211+E2223</f>
        <v>4396144.8975813985</v>
      </c>
      <c r="F2224" s="25">
        <f>E2177*29.04*12</f>
        <v>4396144.8959999997</v>
      </c>
    </row>
    <row r="2225" spans="1:5" ht="15" customHeight="1" x14ac:dyDescent="0.25">
      <c r="A2225" s="10"/>
      <c r="B2225" s="11" t="s">
        <v>199</v>
      </c>
      <c r="C2225" s="21"/>
      <c r="D2225" s="21"/>
      <c r="E2225" s="22">
        <v>29.04</v>
      </c>
    </row>
    <row r="2226" spans="1:5" ht="10.95" customHeight="1" x14ac:dyDescent="0.2"/>
    <row r="2227" spans="1:5" ht="10.95" customHeight="1" x14ac:dyDescent="0.2"/>
    <row r="2228" spans="1:5" ht="10.95" customHeight="1" x14ac:dyDescent="0.2"/>
    <row r="2229" spans="1:5" ht="15" customHeight="1" x14ac:dyDescent="0.25">
      <c r="B2229" s="12" t="s">
        <v>96</v>
      </c>
    </row>
    <row r="2230" spans="1:5" ht="12" customHeight="1" x14ac:dyDescent="0.2"/>
    <row r="2231" spans="1:5" ht="13.2" customHeight="1" x14ac:dyDescent="0.25">
      <c r="B2231" s="3" t="s">
        <v>97</v>
      </c>
    </row>
    <row r="2232" spans="1:5" ht="7.95" customHeight="1" x14ac:dyDescent="0.2"/>
    <row r="2233" spans="1:5" ht="12" customHeight="1" x14ac:dyDescent="0.25">
      <c r="B2233" s="41" t="s">
        <v>100</v>
      </c>
      <c r="C2233" s="41"/>
      <c r="D2233" s="41"/>
      <c r="E2233" s="41"/>
    </row>
    <row r="2234" spans="1:5" ht="10.95" customHeight="1" x14ac:dyDescent="0.2"/>
    <row r="2235" spans="1:5" ht="10.95" customHeight="1" x14ac:dyDescent="0.2"/>
    <row r="2236" spans="1:5" ht="10.95" customHeight="1" x14ac:dyDescent="0.2"/>
    <row r="2237" spans="1:5" ht="16.2" customHeight="1" x14ac:dyDescent="0.2">
      <c r="A2237" s="39" t="s">
        <v>0</v>
      </c>
      <c r="B2237" s="39"/>
      <c r="C2237" s="39"/>
      <c r="D2237" s="39"/>
      <c r="E2237" s="39"/>
    </row>
    <row r="2238" spans="1:5" ht="10.95" customHeight="1" x14ac:dyDescent="0.2">
      <c r="A2238" s="40" t="s">
        <v>1</v>
      </c>
      <c r="B2238" s="40"/>
      <c r="C2238" s="40"/>
      <c r="D2238" s="40"/>
      <c r="E2238" s="40"/>
    </row>
    <row r="2239" spans="1:5" ht="13.2" customHeight="1" x14ac:dyDescent="0.2">
      <c r="A2239" s="40" t="s">
        <v>198</v>
      </c>
      <c r="B2239" s="40"/>
      <c r="C2239" s="40"/>
      <c r="D2239" s="40"/>
      <c r="E2239" s="40"/>
    </row>
    <row r="2240" spans="1:5" ht="10.95" customHeight="1" x14ac:dyDescent="0.2"/>
    <row r="2241" spans="1:5" ht="10.95" customHeight="1" x14ac:dyDescent="0.2">
      <c r="C2241" s="42" t="s">
        <v>3</v>
      </c>
      <c r="D2241" s="42"/>
      <c r="E2241" s="42"/>
    </row>
    <row r="2242" spans="1:5" ht="12" customHeight="1" x14ac:dyDescent="0.2">
      <c r="D2242" s="26" t="s">
        <v>4</v>
      </c>
      <c r="E2242" s="24">
        <v>10846.3</v>
      </c>
    </row>
    <row r="2243" spans="1:5" ht="12" customHeight="1" x14ac:dyDescent="0.2">
      <c r="D2243" s="26" t="s">
        <v>5</v>
      </c>
      <c r="E2243" s="23">
        <v>191.3</v>
      </c>
    </row>
    <row r="2244" spans="1:5" ht="12" customHeight="1" x14ac:dyDescent="0.2">
      <c r="D2244" s="26" t="s">
        <v>6</v>
      </c>
      <c r="E2244" s="30">
        <v>6</v>
      </c>
    </row>
    <row r="2245" spans="1:5" ht="12" customHeight="1" x14ac:dyDescent="0.2">
      <c r="D2245" s="26" t="s">
        <v>7</v>
      </c>
      <c r="E2245" s="30">
        <v>9</v>
      </c>
    </row>
    <row r="2246" spans="1:5" ht="12" customHeight="1" x14ac:dyDescent="0.2">
      <c r="D2246" s="26" t="s">
        <v>8</v>
      </c>
      <c r="E2246" s="30">
        <v>211</v>
      </c>
    </row>
    <row r="2247" spans="1:5" ht="12" customHeight="1" x14ac:dyDescent="0.2">
      <c r="D2247" s="26" t="s">
        <v>9</v>
      </c>
      <c r="E2247" s="30">
        <v>540</v>
      </c>
    </row>
    <row r="2248" spans="1:5" ht="12" customHeight="1" x14ac:dyDescent="0.2">
      <c r="D2248" s="26" t="s">
        <v>10</v>
      </c>
      <c r="E2248" s="30">
        <v>6</v>
      </c>
    </row>
    <row r="2249" spans="1:5" ht="12" customHeight="1" x14ac:dyDescent="0.2">
      <c r="D2249" s="26" t="s">
        <v>11</v>
      </c>
      <c r="E2249" s="30">
        <v>0</v>
      </c>
    </row>
    <row r="2250" spans="1:5" ht="12" customHeight="1" x14ac:dyDescent="0.2">
      <c r="D2250" s="26" t="s">
        <v>12</v>
      </c>
      <c r="E2250" s="30">
        <v>0</v>
      </c>
    </row>
    <row r="2251" spans="1:5" ht="12" customHeight="1" x14ac:dyDescent="0.2">
      <c r="D2251" s="26" t="s">
        <v>13</v>
      </c>
      <c r="E2251" s="30">
        <v>1303</v>
      </c>
    </row>
    <row r="2252" spans="1:5" ht="12" customHeight="1" x14ac:dyDescent="0.25">
      <c r="A2252" s="2" t="s">
        <v>14</v>
      </c>
      <c r="B2252" s="3" t="s">
        <v>155</v>
      </c>
    </row>
    <row r="2253" spans="1:5" ht="10.95" customHeight="1" x14ac:dyDescent="0.2"/>
    <row r="2254" spans="1:5" ht="45" customHeight="1" x14ac:dyDescent="0.2">
      <c r="A2254" s="4" t="s">
        <v>15</v>
      </c>
      <c r="B2254" s="4" t="s">
        <v>131</v>
      </c>
      <c r="C2254" s="27" t="s">
        <v>17</v>
      </c>
      <c r="D2254" s="27" t="s">
        <v>103</v>
      </c>
      <c r="E2254" s="27" t="s">
        <v>19</v>
      </c>
    </row>
    <row r="2255" spans="1:5" ht="31.5" customHeight="1" x14ac:dyDescent="0.2">
      <c r="A2255" s="5">
        <v>1</v>
      </c>
      <c r="B2255" s="6" t="s">
        <v>190</v>
      </c>
      <c r="C2255" s="16"/>
      <c r="D2255" s="16"/>
      <c r="E2255" s="17">
        <f>E2256+E2263</f>
        <v>1969503.3560000001</v>
      </c>
    </row>
    <row r="2256" spans="1:5" ht="15" customHeight="1" x14ac:dyDescent="0.2">
      <c r="A2256" s="7" t="s">
        <v>21</v>
      </c>
      <c r="B2256" s="6" t="s">
        <v>132</v>
      </c>
      <c r="C2256" s="16"/>
      <c r="D2256" s="16"/>
      <c r="E2256" s="17">
        <f>SUM(E2257:E2262)</f>
        <v>837933.08600000001</v>
      </c>
    </row>
    <row r="2257" spans="1:6" ht="11.25" customHeight="1" x14ac:dyDescent="0.2">
      <c r="A2257" s="15" t="s">
        <v>23</v>
      </c>
      <c r="B2257" s="9" t="s">
        <v>34</v>
      </c>
      <c r="C2257" s="16">
        <v>1.49</v>
      </c>
      <c r="D2257" s="16">
        <v>18781</v>
      </c>
      <c r="E2257" s="19">
        <f>ROUND(C2257*D2257,2)*12</f>
        <v>335804.27999999997</v>
      </c>
      <c r="F2257" s="20"/>
    </row>
    <row r="2258" spans="1:6" ht="11.25" customHeight="1" x14ac:dyDescent="0.2">
      <c r="A2258" s="8" t="s">
        <v>31</v>
      </c>
      <c r="B2258" s="9" t="s">
        <v>36</v>
      </c>
      <c r="C2258" s="16">
        <v>1.26</v>
      </c>
      <c r="D2258" s="16">
        <v>18781</v>
      </c>
      <c r="E2258" s="19">
        <f>ROUND(C2258*D2258,2)*12</f>
        <v>283968.72000000003</v>
      </c>
    </row>
    <row r="2259" spans="1:6" ht="11.25" customHeight="1" x14ac:dyDescent="0.2">
      <c r="A2259" s="8" t="s">
        <v>121</v>
      </c>
      <c r="B2259" s="9" t="s">
        <v>38</v>
      </c>
      <c r="C2259" s="16">
        <v>30.2</v>
      </c>
      <c r="D2259" s="16">
        <f>E2257</f>
        <v>335804.27999999997</v>
      </c>
      <c r="E2259" s="19">
        <f>ROUND(C2259*D2259/100,2)</f>
        <v>101412.89</v>
      </c>
    </row>
    <row r="2260" spans="1:6" ht="11.25" customHeight="1" x14ac:dyDescent="0.2">
      <c r="A2260" s="8" t="s">
        <v>186</v>
      </c>
      <c r="B2260" s="9" t="s">
        <v>40</v>
      </c>
      <c r="C2260" s="16">
        <v>30.2</v>
      </c>
      <c r="D2260" s="16">
        <f>E2258</f>
        <v>283968.72000000003</v>
      </c>
      <c r="E2260" s="19">
        <f>ROUND(C2260*D2260/100,2)</f>
        <v>85758.55</v>
      </c>
    </row>
    <row r="2261" spans="1:6" ht="11.25" customHeight="1" x14ac:dyDescent="0.2">
      <c r="A2261" s="8" t="s">
        <v>187</v>
      </c>
      <c r="B2261" s="9" t="s">
        <v>42</v>
      </c>
      <c r="C2261" s="16"/>
      <c r="D2261" s="16"/>
      <c r="E2261" s="19">
        <f>ROUND(E2257*0.05,2)</f>
        <v>16790.21</v>
      </c>
    </row>
    <row r="2262" spans="1:6" ht="11.25" customHeight="1" x14ac:dyDescent="0.2">
      <c r="A2262" s="8" t="s">
        <v>188</v>
      </c>
      <c r="B2262" s="9" t="s">
        <v>44</v>
      </c>
      <c r="C2262" s="16"/>
      <c r="D2262" s="16"/>
      <c r="E2262" s="19">
        <f>E2258*0.05</f>
        <v>14198.436000000002</v>
      </c>
    </row>
    <row r="2263" spans="1:6" ht="15" customHeight="1" x14ac:dyDescent="0.2">
      <c r="A2263" s="7" t="s">
        <v>45</v>
      </c>
      <c r="B2263" s="6" t="s">
        <v>189</v>
      </c>
      <c r="C2263" s="16"/>
      <c r="D2263" s="16"/>
      <c r="E2263" s="17">
        <f>E2264+E2265+E2266+E2267</f>
        <v>1131570.27</v>
      </c>
    </row>
    <row r="2264" spans="1:6" ht="11.25" customHeight="1" x14ac:dyDescent="0.2">
      <c r="A2264" s="8" t="s">
        <v>47</v>
      </c>
      <c r="B2264" s="9" t="s">
        <v>48</v>
      </c>
      <c r="C2264" s="16">
        <v>2.95</v>
      </c>
      <c r="D2264" s="16">
        <v>18781</v>
      </c>
      <c r="E2264" s="19">
        <f>ROUND(C2264*D2264,2)*12</f>
        <v>664847.39999999991</v>
      </c>
      <c r="F2264" s="20"/>
    </row>
    <row r="2265" spans="1:6" ht="11.25" customHeight="1" x14ac:dyDescent="0.2">
      <c r="A2265" s="8" t="s">
        <v>49</v>
      </c>
      <c r="B2265" s="9" t="s">
        <v>50</v>
      </c>
      <c r="C2265" s="16">
        <v>30.2</v>
      </c>
      <c r="D2265" s="16">
        <f>E2264</f>
        <v>664847.39999999991</v>
      </c>
      <c r="E2265" s="19">
        <f>ROUND(C2265*D2265/100,2)</f>
        <v>200783.91</v>
      </c>
    </row>
    <row r="2266" spans="1:6" ht="11.25" customHeight="1" x14ac:dyDescent="0.2">
      <c r="A2266" s="8" t="s">
        <v>51</v>
      </c>
      <c r="B2266" s="9" t="s">
        <v>52</v>
      </c>
      <c r="C2266" s="16"/>
      <c r="D2266" s="16"/>
      <c r="E2266" s="19">
        <f>E2264*0.35</f>
        <v>232696.58999999994</v>
      </c>
    </row>
    <row r="2267" spans="1:6" ht="11.25" customHeight="1" x14ac:dyDescent="0.2">
      <c r="A2267" s="8" t="s">
        <v>53</v>
      </c>
      <c r="B2267" s="9" t="s">
        <v>54</v>
      </c>
      <c r="C2267" s="16"/>
      <c r="D2267" s="16"/>
      <c r="E2267" s="19">
        <f>E2264*0.05</f>
        <v>33242.369999999995</v>
      </c>
    </row>
    <row r="2268" spans="1:6" ht="20.100000000000001" customHeight="1" x14ac:dyDescent="0.2">
      <c r="A2268" s="5">
        <v>2</v>
      </c>
      <c r="B2268" s="6" t="s">
        <v>57</v>
      </c>
      <c r="C2268" s="16"/>
      <c r="D2268" s="16"/>
      <c r="E2268" s="17">
        <f>E2269+E2271+E2272+E2273+E2274+E2275+E2270</f>
        <v>1007280.88</v>
      </c>
    </row>
    <row r="2269" spans="1:6" ht="11.25" customHeight="1" x14ac:dyDescent="0.2">
      <c r="A2269" s="35" t="s">
        <v>58</v>
      </c>
      <c r="B2269" s="9" t="s">
        <v>204</v>
      </c>
      <c r="C2269" s="16">
        <v>783</v>
      </c>
      <c r="D2269" s="16">
        <f>E2269/C2269</f>
        <v>177.97</v>
      </c>
      <c r="E2269" s="19">
        <v>139350.51</v>
      </c>
    </row>
    <row r="2270" spans="1:6" ht="11.25" customHeight="1" x14ac:dyDescent="0.2">
      <c r="A2270" s="35" t="s">
        <v>60</v>
      </c>
      <c r="B2270" s="9" t="s">
        <v>195</v>
      </c>
      <c r="C2270" s="16">
        <v>783</v>
      </c>
      <c r="D2270" s="16">
        <f>E2270/C2270</f>
        <v>219.63343550447001</v>
      </c>
      <c r="E2270" s="19">
        <v>171972.98</v>
      </c>
    </row>
    <row r="2271" spans="1:6" ht="11.25" customHeight="1" x14ac:dyDescent="0.2">
      <c r="A2271" s="35" t="s">
        <v>62</v>
      </c>
      <c r="B2271" s="9" t="s">
        <v>196</v>
      </c>
      <c r="C2271" s="16">
        <v>248.4</v>
      </c>
      <c r="D2271" s="16">
        <f>E2271/C2271</f>
        <v>848.40124798711747</v>
      </c>
      <c r="E2271" s="19">
        <v>210742.87</v>
      </c>
    </row>
    <row r="2272" spans="1:6" ht="11.25" customHeight="1" x14ac:dyDescent="0.2">
      <c r="A2272" s="35" t="s">
        <v>64</v>
      </c>
      <c r="B2272" s="9" t="s">
        <v>63</v>
      </c>
      <c r="C2272" s="16">
        <f>E2272/D2272</f>
        <v>77682.246753246742</v>
      </c>
      <c r="D2272" s="16">
        <v>4.62</v>
      </c>
      <c r="E2272" s="19">
        <f>360360+10973.66-12441.68</f>
        <v>358891.98</v>
      </c>
      <c r="F2272" s="20"/>
    </row>
    <row r="2273" spans="1:5" ht="11.25" customHeight="1" x14ac:dyDescent="0.2">
      <c r="A2273" s="35" t="s">
        <v>66</v>
      </c>
      <c r="B2273" s="9" t="s">
        <v>65</v>
      </c>
      <c r="C2273" s="16">
        <f>E2273/D2273</f>
        <v>1380.2579650565262</v>
      </c>
      <c r="D2273" s="16">
        <v>68.11</v>
      </c>
      <c r="E2273" s="19">
        <v>94009.37</v>
      </c>
    </row>
    <row r="2274" spans="1:5" ht="11.25" customHeight="1" x14ac:dyDescent="0.2">
      <c r="A2274" s="35" t="s">
        <v>68</v>
      </c>
      <c r="B2274" s="9" t="s">
        <v>69</v>
      </c>
      <c r="C2274" s="16">
        <v>1674</v>
      </c>
      <c r="D2274" s="16">
        <f>E2274/C2274</f>
        <v>3.3499999999999996</v>
      </c>
      <c r="E2274" s="19">
        <v>5607.9</v>
      </c>
    </row>
    <row r="2275" spans="1:5" ht="11.25" customHeight="1" x14ac:dyDescent="0.2">
      <c r="A2275" s="35" t="s">
        <v>70</v>
      </c>
      <c r="B2275" s="9" t="s">
        <v>71</v>
      </c>
      <c r="C2275" s="16">
        <v>142.02000000000001</v>
      </c>
      <c r="D2275" s="16">
        <f>E2275/C2275</f>
        <v>188.03879735248555</v>
      </c>
      <c r="E2275" s="19">
        <v>26705.27</v>
      </c>
    </row>
    <row r="2276" spans="1:5" ht="20.100000000000001" customHeight="1" x14ac:dyDescent="0.2">
      <c r="A2276" s="5">
        <v>3</v>
      </c>
      <c r="B2276" s="6" t="s">
        <v>72</v>
      </c>
      <c r="C2276" s="16"/>
      <c r="D2276" s="16"/>
      <c r="E2276" s="17">
        <f>E2277+E2278+E2279+E2280+E2281+E2282+E2283+E2284+E2285+E2287+E2286</f>
        <v>459323.5996411994</v>
      </c>
    </row>
    <row r="2277" spans="1:5" ht="11.25" customHeight="1" x14ac:dyDescent="0.2">
      <c r="A2277" s="8" t="s">
        <v>73</v>
      </c>
      <c r="B2277" s="9" t="s">
        <v>74</v>
      </c>
      <c r="C2277" s="34">
        <v>6</v>
      </c>
      <c r="D2277" s="16">
        <f>E2277/C2277/12</f>
        <v>3192.7319444444443</v>
      </c>
      <c r="E2277" s="19">
        <v>229876.7</v>
      </c>
    </row>
    <row r="2278" spans="1:5" ht="11.25" customHeight="1" x14ac:dyDescent="0.2">
      <c r="A2278" s="8" t="s">
        <v>75</v>
      </c>
      <c r="B2278" s="9" t="s">
        <v>76</v>
      </c>
      <c r="C2278" s="16"/>
      <c r="D2278" s="16"/>
      <c r="E2278" s="19">
        <v>0</v>
      </c>
    </row>
    <row r="2279" spans="1:5" ht="11.25" customHeight="1" x14ac:dyDescent="0.2">
      <c r="A2279" s="8" t="s">
        <v>77</v>
      </c>
      <c r="B2279" s="9" t="s">
        <v>78</v>
      </c>
      <c r="C2279" s="16"/>
      <c r="D2279" s="16"/>
      <c r="E2279" s="19">
        <v>0</v>
      </c>
    </row>
    <row r="2280" spans="1:5" ht="11.25" customHeight="1" x14ac:dyDescent="0.2">
      <c r="A2280" s="8" t="s">
        <v>79</v>
      </c>
      <c r="B2280" s="9" t="s">
        <v>80</v>
      </c>
      <c r="C2280" s="16">
        <v>10846.3</v>
      </c>
      <c r="D2280" s="16">
        <f>E2280/C2280</f>
        <v>4.2232659985432823</v>
      </c>
      <c r="E2280" s="19">
        <v>45806.81</v>
      </c>
    </row>
    <row r="2281" spans="1:5" ht="11.25" customHeight="1" x14ac:dyDescent="0.2">
      <c r="A2281" s="8" t="s">
        <v>81</v>
      </c>
      <c r="B2281" s="9" t="s">
        <v>82</v>
      </c>
      <c r="C2281" s="34">
        <v>422</v>
      </c>
      <c r="D2281" s="16">
        <f>E2281/C2281</f>
        <v>71.832559241706164</v>
      </c>
      <c r="E2281" s="19">
        <v>30313.34</v>
      </c>
    </row>
    <row r="2282" spans="1:5" ht="11.25" customHeight="1" x14ac:dyDescent="0.2">
      <c r="A2282" s="8" t="s">
        <v>83</v>
      </c>
      <c r="B2282" s="9" t="s">
        <v>194</v>
      </c>
      <c r="C2282" s="34">
        <v>211</v>
      </c>
      <c r="D2282" s="16">
        <f>E2282/C2282</f>
        <v>86.809478672985776</v>
      </c>
      <c r="E2282" s="19">
        <v>18316.8</v>
      </c>
    </row>
    <row r="2283" spans="1:5" ht="11.25" customHeight="1" x14ac:dyDescent="0.2">
      <c r="A2283" s="8" t="s">
        <v>85</v>
      </c>
      <c r="B2283" s="9" t="s">
        <v>86</v>
      </c>
      <c r="C2283" s="16">
        <v>0.2</v>
      </c>
      <c r="D2283" s="16">
        <f>E2283/C2283</f>
        <v>19206.25</v>
      </c>
      <c r="E2283" s="19">
        <v>3841.25</v>
      </c>
    </row>
    <row r="2284" spans="1:5" ht="11.25" customHeight="1" x14ac:dyDescent="0.2">
      <c r="A2284" s="8" t="s">
        <v>87</v>
      </c>
      <c r="B2284" s="9" t="s">
        <v>88</v>
      </c>
      <c r="C2284" s="34">
        <v>211</v>
      </c>
      <c r="D2284" s="16">
        <f>E2284/C2284</f>
        <v>542.89819905213267</v>
      </c>
      <c r="E2284" s="19">
        <v>114551.52</v>
      </c>
    </row>
    <row r="2285" spans="1:5" ht="11.25" customHeight="1" x14ac:dyDescent="0.2">
      <c r="A2285" s="8" t="s">
        <v>89</v>
      </c>
      <c r="B2285" s="9" t="s">
        <v>90</v>
      </c>
      <c r="C2285" s="16"/>
      <c r="D2285" s="16"/>
      <c r="E2285" s="19">
        <v>0</v>
      </c>
    </row>
    <row r="2286" spans="1:5" ht="11.25" customHeight="1" x14ac:dyDescent="0.2">
      <c r="A2286" s="8" t="s">
        <v>91</v>
      </c>
      <c r="B2286" s="9" t="s">
        <v>202</v>
      </c>
      <c r="C2286" s="34">
        <v>6</v>
      </c>
      <c r="D2286" s="16">
        <f>E2286/C2286</f>
        <v>2769.5299401998959</v>
      </c>
      <c r="E2286" s="19">
        <f>2826.16*6*1.2*0.81663515754</f>
        <v>16617.179641199375</v>
      </c>
    </row>
    <row r="2287" spans="1:5" ht="11.25" customHeight="1" x14ac:dyDescent="0.2">
      <c r="A2287" s="8" t="s">
        <v>203</v>
      </c>
      <c r="B2287" s="9" t="s">
        <v>92</v>
      </c>
      <c r="C2287" s="16"/>
      <c r="D2287" s="16"/>
      <c r="E2287" s="19">
        <v>0</v>
      </c>
    </row>
    <row r="2288" spans="1:5" ht="15" customHeight="1" x14ac:dyDescent="0.2">
      <c r="A2288" s="5">
        <v>4</v>
      </c>
      <c r="B2288" s="6" t="s">
        <v>193</v>
      </c>
      <c r="C2288" s="16"/>
      <c r="D2288" s="16"/>
      <c r="E2288" s="17">
        <f>F2289/1.1*0.1</f>
        <v>343610.78399999999</v>
      </c>
    </row>
    <row r="2289" spans="1:6" ht="18.75" customHeight="1" x14ac:dyDescent="0.2">
      <c r="A2289" s="10"/>
      <c r="B2289" s="11" t="s">
        <v>94</v>
      </c>
      <c r="C2289" s="21"/>
      <c r="D2289" s="21"/>
      <c r="E2289" s="17">
        <f>E2255+E2268+E2276+E2288</f>
        <v>3779718.6196411992</v>
      </c>
      <c r="F2289" s="25">
        <f>E2242*29.04*12</f>
        <v>3779718.6239999998</v>
      </c>
    </row>
    <row r="2290" spans="1:6" ht="15" customHeight="1" x14ac:dyDescent="0.25">
      <c r="A2290" s="10"/>
      <c r="B2290" s="11" t="s">
        <v>199</v>
      </c>
      <c r="C2290" s="21"/>
      <c r="D2290" s="21"/>
      <c r="E2290" s="22">
        <v>29.04</v>
      </c>
    </row>
    <row r="2291" spans="1:6" ht="10.95" customHeight="1" x14ac:dyDescent="0.2"/>
    <row r="2292" spans="1:6" ht="10.95" customHeight="1" x14ac:dyDescent="0.2"/>
    <row r="2293" spans="1:6" ht="10.95" customHeight="1" x14ac:dyDescent="0.2"/>
    <row r="2294" spans="1:6" ht="15" customHeight="1" x14ac:dyDescent="0.25">
      <c r="B2294" s="12" t="s">
        <v>96</v>
      </c>
    </row>
    <row r="2295" spans="1:6" ht="12" customHeight="1" x14ac:dyDescent="0.2"/>
    <row r="2296" spans="1:6" ht="13.2" customHeight="1" x14ac:dyDescent="0.25">
      <c r="B2296" s="3" t="s">
        <v>97</v>
      </c>
    </row>
    <row r="2297" spans="1:6" ht="7.95" customHeight="1" x14ac:dyDescent="0.2"/>
    <row r="2298" spans="1:6" ht="12" customHeight="1" x14ac:dyDescent="0.25">
      <c r="B2298" s="41" t="s">
        <v>100</v>
      </c>
      <c r="C2298" s="41"/>
      <c r="D2298" s="41"/>
      <c r="E2298" s="41"/>
    </row>
    <row r="2299" spans="1:6" ht="10.95" customHeight="1" x14ac:dyDescent="0.2"/>
    <row r="2300" spans="1:6" ht="10.95" customHeight="1" x14ac:dyDescent="0.2"/>
    <row r="2301" spans="1:6" ht="10.95" customHeight="1" x14ac:dyDescent="0.2"/>
    <row r="2302" spans="1:6" ht="16.2" customHeight="1" x14ac:dyDescent="0.2">
      <c r="A2302" s="39" t="s">
        <v>0</v>
      </c>
      <c r="B2302" s="39"/>
      <c r="C2302" s="39"/>
      <c r="D2302" s="39"/>
      <c r="E2302" s="39"/>
    </row>
    <row r="2303" spans="1:6" ht="10.95" customHeight="1" x14ac:dyDescent="0.2">
      <c r="A2303" s="40" t="s">
        <v>1</v>
      </c>
      <c r="B2303" s="40"/>
      <c r="C2303" s="40"/>
      <c r="D2303" s="40"/>
      <c r="E2303" s="40"/>
    </row>
    <row r="2304" spans="1:6" ht="13.2" customHeight="1" x14ac:dyDescent="0.2">
      <c r="A2304" s="40" t="s">
        <v>198</v>
      </c>
      <c r="B2304" s="40"/>
      <c r="C2304" s="40"/>
      <c r="D2304" s="40"/>
      <c r="E2304" s="40"/>
    </row>
    <row r="2305" spans="1:5" ht="10.95" customHeight="1" x14ac:dyDescent="0.2"/>
    <row r="2306" spans="1:5" ht="10.95" customHeight="1" x14ac:dyDescent="0.2">
      <c r="C2306" s="42" t="s">
        <v>3</v>
      </c>
      <c r="D2306" s="42"/>
      <c r="E2306" s="42"/>
    </row>
    <row r="2307" spans="1:5" ht="12" customHeight="1" x14ac:dyDescent="0.2">
      <c r="D2307" s="26" t="s">
        <v>4</v>
      </c>
      <c r="E2307" s="24">
        <v>10988</v>
      </c>
    </row>
    <row r="2308" spans="1:5" ht="12" customHeight="1" x14ac:dyDescent="0.2">
      <c r="D2308" s="26" t="s">
        <v>5</v>
      </c>
      <c r="E2308" s="23">
        <v>0</v>
      </c>
    </row>
    <row r="2309" spans="1:5" ht="12" customHeight="1" x14ac:dyDescent="0.2">
      <c r="D2309" s="26" t="s">
        <v>6</v>
      </c>
      <c r="E2309" s="30">
        <v>6</v>
      </c>
    </row>
    <row r="2310" spans="1:5" ht="12" customHeight="1" x14ac:dyDescent="0.2">
      <c r="D2310" s="26" t="s">
        <v>7</v>
      </c>
      <c r="E2310" s="30">
        <v>9</v>
      </c>
    </row>
    <row r="2311" spans="1:5" ht="12" customHeight="1" x14ac:dyDescent="0.2">
      <c r="D2311" s="26" t="s">
        <v>8</v>
      </c>
      <c r="E2311" s="30">
        <v>215</v>
      </c>
    </row>
    <row r="2312" spans="1:5" ht="12" customHeight="1" x14ac:dyDescent="0.2">
      <c r="D2312" s="26" t="s">
        <v>9</v>
      </c>
      <c r="E2312" s="30">
        <v>550</v>
      </c>
    </row>
    <row r="2313" spans="1:5" ht="12" customHeight="1" x14ac:dyDescent="0.2">
      <c r="D2313" s="26" t="s">
        <v>10</v>
      </c>
      <c r="E2313" s="30">
        <v>6</v>
      </c>
    </row>
    <row r="2314" spans="1:5" ht="12" customHeight="1" x14ac:dyDescent="0.2">
      <c r="D2314" s="26" t="s">
        <v>11</v>
      </c>
      <c r="E2314" s="30">
        <v>0</v>
      </c>
    </row>
    <row r="2315" spans="1:5" ht="12" customHeight="1" x14ac:dyDescent="0.2">
      <c r="D2315" s="26" t="s">
        <v>12</v>
      </c>
      <c r="E2315" s="30">
        <v>0</v>
      </c>
    </row>
    <row r="2316" spans="1:5" ht="12" customHeight="1" x14ac:dyDescent="0.2">
      <c r="D2316" s="26" t="s">
        <v>13</v>
      </c>
      <c r="E2316" s="30">
        <v>1464</v>
      </c>
    </row>
    <row r="2317" spans="1:5" ht="12" customHeight="1" x14ac:dyDescent="0.25">
      <c r="A2317" s="2" t="s">
        <v>14</v>
      </c>
      <c r="B2317" s="3" t="s">
        <v>156</v>
      </c>
    </row>
    <row r="2318" spans="1:5" ht="10.95" customHeight="1" x14ac:dyDescent="0.2"/>
    <row r="2319" spans="1:5" ht="45" customHeight="1" x14ac:dyDescent="0.2">
      <c r="A2319" s="4" t="s">
        <v>15</v>
      </c>
      <c r="B2319" s="4" t="s">
        <v>131</v>
      </c>
      <c r="C2319" s="27" t="s">
        <v>17</v>
      </c>
      <c r="D2319" s="27" t="s">
        <v>103</v>
      </c>
      <c r="E2319" s="27" t="s">
        <v>19</v>
      </c>
    </row>
    <row r="2320" spans="1:5" ht="31.5" customHeight="1" x14ac:dyDescent="0.2">
      <c r="A2320" s="5">
        <v>1</v>
      </c>
      <c r="B2320" s="6" t="s">
        <v>190</v>
      </c>
      <c r="C2320" s="16"/>
      <c r="D2320" s="16"/>
      <c r="E2320" s="17">
        <f>E2321+E2328</f>
        <v>1914580.206</v>
      </c>
    </row>
    <row r="2321" spans="1:6" ht="15" customHeight="1" x14ac:dyDescent="0.2">
      <c r="A2321" s="7" t="s">
        <v>21</v>
      </c>
      <c r="B2321" s="6" t="s">
        <v>132</v>
      </c>
      <c r="C2321" s="16"/>
      <c r="D2321" s="16"/>
      <c r="E2321" s="17">
        <f>SUM(E2322:E2327)</f>
        <v>901920.70400000003</v>
      </c>
    </row>
    <row r="2322" spans="1:6" ht="11.25" customHeight="1" x14ac:dyDescent="0.2">
      <c r="A2322" s="15" t="s">
        <v>23</v>
      </c>
      <c r="B2322" s="9" t="s">
        <v>34</v>
      </c>
      <c r="C2322" s="16">
        <v>1.67</v>
      </c>
      <c r="D2322" s="16">
        <v>18781</v>
      </c>
      <c r="E2322" s="19">
        <f>ROUND(C2322*D2322,2)*12</f>
        <v>376371.24</v>
      </c>
      <c r="F2322" s="20"/>
    </row>
    <row r="2323" spans="1:6" ht="11.25" customHeight="1" x14ac:dyDescent="0.2">
      <c r="A2323" s="8" t="s">
        <v>31</v>
      </c>
      <c r="B2323" s="9" t="s">
        <v>36</v>
      </c>
      <c r="C2323" s="16">
        <v>1.29</v>
      </c>
      <c r="D2323" s="16">
        <v>18781</v>
      </c>
      <c r="E2323" s="19">
        <f>ROUND(C2323*D2323,2)*12</f>
        <v>290729.88</v>
      </c>
    </row>
    <row r="2324" spans="1:6" ht="11.25" customHeight="1" x14ac:dyDescent="0.2">
      <c r="A2324" s="8" t="s">
        <v>121</v>
      </c>
      <c r="B2324" s="9" t="s">
        <v>38</v>
      </c>
      <c r="C2324" s="16">
        <v>30.2</v>
      </c>
      <c r="D2324" s="16">
        <f>E2322</f>
        <v>376371.24</v>
      </c>
      <c r="E2324" s="19">
        <f>ROUND(C2324*D2324/100,2)</f>
        <v>113664.11</v>
      </c>
    </row>
    <row r="2325" spans="1:6" ht="11.25" customHeight="1" x14ac:dyDescent="0.2">
      <c r="A2325" s="8" t="s">
        <v>186</v>
      </c>
      <c r="B2325" s="9" t="s">
        <v>40</v>
      </c>
      <c r="C2325" s="16">
        <v>30.2</v>
      </c>
      <c r="D2325" s="16">
        <f>E2323</f>
        <v>290729.88</v>
      </c>
      <c r="E2325" s="19">
        <f>ROUND(C2325*D2325/100,2)</f>
        <v>87800.42</v>
      </c>
    </row>
    <row r="2326" spans="1:6" ht="11.25" customHeight="1" x14ac:dyDescent="0.2">
      <c r="A2326" s="8" t="s">
        <v>187</v>
      </c>
      <c r="B2326" s="9" t="s">
        <v>42</v>
      </c>
      <c r="C2326" s="16"/>
      <c r="D2326" s="16"/>
      <c r="E2326" s="19">
        <f>ROUND(E2322*0.05,2)</f>
        <v>18818.560000000001</v>
      </c>
    </row>
    <row r="2327" spans="1:6" ht="11.25" customHeight="1" x14ac:dyDescent="0.2">
      <c r="A2327" s="8" t="s">
        <v>188</v>
      </c>
      <c r="B2327" s="9" t="s">
        <v>44</v>
      </c>
      <c r="C2327" s="16"/>
      <c r="D2327" s="16"/>
      <c r="E2327" s="19">
        <f>E2323*0.05</f>
        <v>14536.494000000001</v>
      </c>
    </row>
    <row r="2328" spans="1:6" ht="15" customHeight="1" x14ac:dyDescent="0.2">
      <c r="A2328" s="7" t="s">
        <v>45</v>
      </c>
      <c r="B2328" s="6" t="s">
        <v>189</v>
      </c>
      <c r="C2328" s="16"/>
      <c r="D2328" s="16"/>
      <c r="E2328" s="17">
        <f>E2329+E2330+E2331+E2332</f>
        <v>1012659.502</v>
      </c>
    </row>
    <row r="2329" spans="1:6" ht="11.25" customHeight="1" x14ac:dyDescent="0.2">
      <c r="A2329" s="8" t="s">
        <v>47</v>
      </c>
      <c r="B2329" s="9" t="s">
        <v>48</v>
      </c>
      <c r="C2329" s="16">
        <f>3-0.14-0.22</f>
        <v>2.6399999999999997</v>
      </c>
      <c r="D2329" s="16">
        <v>18781</v>
      </c>
      <c r="E2329" s="19">
        <f>ROUND(C2329*D2329,2)*12</f>
        <v>594982.07999999996</v>
      </c>
      <c r="F2329" s="20"/>
    </row>
    <row r="2330" spans="1:6" ht="11.25" customHeight="1" x14ac:dyDescent="0.2">
      <c r="A2330" s="8" t="s">
        <v>49</v>
      </c>
      <c r="B2330" s="9" t="s">
        <v>50</v>
      </c>
      <c r="C2330" s="16">
        <v>30.2</v>
      </c>
      <c r="D2330" s="16">
        <f>E2329</f>
        <v>594982.07999999996</v>
      </c>
      <c r="E2330" s="19">
        <f>ROUND(C2330*D2330/100,2)</f>
        <v>179684.59</v>
      </c>
    </row>
    <row r="2331" spans="1:6" ht="11.25" customHeight="1" x14ac:dyDescent="0.2">
      <c r="A2331" s="8" t="s">
        <v>51</v>
      </c>
      <c r="B2331" s="9" t="s">
        <v>52</v>
      </c>
      <c r="C2331" s="16"/>
      <c r="D2331" s="16"/>
      <c r="E2331" s="19">
        <f>E2329*0.35</f>
        <v>208243.72799999997</v>
      </c>
    </row>
    <row r="2332" spans="1:6" ht="11.25" customHeight="1" x14ac:dyDescent="0.2">
      <c r="A2332" s="8" t="s">
        <v>53</v>
      </c>
      <c r="B2332" s="9" t="s">
        <v>54</v>
      </c>
      <c r="C2332" s="16"/>
      <c r="D2332" s="16"/>
      <c r="E2332" s="19">
        <f>E2329*0.05</f>
        <v>29749.103999999999</v>
      </c>
    </row>
    <row r="2333" spans="1:6" ht="20.100000000000001" customHeight="1" x14ac:dyDescent="0.2">
      <c r="A2333" s="5">
        <v>2</v>
      </c>
      <c r="B2333" s="6" t="s">
        <v>57</v>
      </c>
      <c r="C2333" s="16"/>
      <c r="D2333" s="16"/>
      <c r="E2333" s="17">
        <f>E2334+E2336+E2337+E2338+E2339+E2340+E2335</f>
        <v>1104636.95</v>
      </c>
    </row>
    <row r="2334" spans="1:6" ht="11.25" customHeight="1" x14ac:dyDescent="0.2">
      <c r="A2334" s="35" t="s">
        <v>58</v>
      </c>
      <c r="B2334" s="9" t="s">
        <v>204</v>
      </c>
      <c r="C2334" s="16">
        <v>797.5</v>
      </c>
      <c r="D2334" s="16">
        <f>E2334/C2334</f>
        <v>177.97000626959246</v>
      </c>
      <c r="E2334" s="19">
        <v>141931.07999999999</v>
      </c>
    </row>
    <row r="2335" spans="1:6" ht="11.25" customHeight="1" x14ac:dyDescent="0.2">
      <c r="A2335" s="35" t="s">
        <v>60</v>
      </c>
      <c r="B2335" s="9" t="s">
        <v>195</v>
      </c>
      <c r="C2335" s="16">
        <v>797.5</v>
      </c>
      <c r="D2335" s="16">
        <f>E2335/C2335</f>
        <v>219.63342946708465</v>
      </c>
      <c r="E2335" s="19">
        <v>175157.66</v>
      </c>
    </row>
    <row r="2336" spans="1:6" ht="11.25" customHeight="1" x14ac:dyDescent="0.2">
      <c r="A2336" s="35" t="s">
        <v>62</v>
      </c>
      <c r="B2336" s="9" t="s">
        <v>196</v>
      </c>
      <c r="C2336" s="16">
        <v>253</v>
      </c>
      <c r="D2336" s="16">
        <f>E2336/C2336</f>
        <v>848.40126482213429</v>
      </c>
      <c r="E2336" s="19">
        <v>214645.52</v>
      </c>
    </row>
    <row r="2337" spans="1:6" ht="11.25" customHeight="1" x14ac:dyDescent="0.2">
      <c r="A2337" s="35" t="s">
        <v>64</v>
      </c>
      <c r="B2337" s="9" t="s">
        <v>63</v>
      </c>
      <c r="C2337" s="16">
        <f>E2337/D2337</f>
        <v>74932.967093235828</v>
      </c>
      <c r="D2337" s="16">
        <v>5.47</v>
      </c>
      <c r="E2337" s="19">
        <f>437600-18768.27-8948.4</f>
        <v>409883.32999999996</v>
      </c>
      <c r="F2337" s="20"/>
    </row>
    <row r="2338" spans="1:6" ht="11.25" customHeight="1" x14ac:dyDescent="0.2">
      <c r="A2338" s="35" t="s">
        <v>66</v>
      </c>
      <c r="B2338" s="9" t="s">
        <v>65</v>
      </c>
      <c r="C2338" s="16">
        <f>E2338/D2338</f>
        <v>1919.6062252239026</v>
      </c>
      <c r="D2338" s="16">
        <v>68.11</v>
      </c>
      <c r="E2338" s="19">
        <v>130744.38</v>
      </c>
    </row>
    <row r="2339" spans="1:6" ht="11.25" customHeight="1" x14ac:dyDescent="0.2">
      <c r="A2339" s="35" t="s">
        <v>68</v>
      </c>
      <c r="B2339" s="9" t="s">
        <v>69</v>
      </c>
      <c r="C2339" s="16">
        <v>1662.6</v>
      </c>
      <c r="D2339" s="16">
        <f>E2339/C2339</f>
        <v>3.35</v>
      </c>
      <c r="E2339" s="19">
        <v>5569.71</v>
      </c>
    </row>
    <row r="2340" spans="1:6" ht="11.25" customHeight="1" x14ac:dyDescent="0.2">
      <c r="A2340" s="35" t="s">
        <v>70</v>
      </c>
      <c r="B2340" s="9" t="s">
        <v>71</v>
      </c>
      <c r="C2340" s="16">
        <v>142.02000000000001</v>
      </c>
      <c r="D2340" s="16">
        <f>E2340/C2340</f>
        <v>188.03879735248555</v>
      </c>
      <c r="E2340" s="19">
        <v>26705.27</v>
      </c>
    </row>
    <row r="2341" spans="1:6" ht="20.100000000000001" customHeight="1" x14ac:dyDescent="0.2">
      <c r="A2341" s="5">
        <v>3</v>
      </c>
      <c r="B2341" s="6" t="s">
        <v>72</v>
      </c>
      <c r="C2341" s="16"/>
      <c r="D2341" s="16"/>
      <c r="E2341" s="17">
        <f>E2342+E2343+E2344+E2345+E2346+E2347+E2348+E2349+E2350+E2352+E2351</f>
        <v>461781.24761851277</v>
      </c>
    </row>
    <row r="2342" spans="1:6" ht="11.25" customHeight="1" x14ac:dyDescent="0.2">
      <c r="A2342" s="8" t="s">
        <v>73</v>
      </c>
      <c r="B2342" s="9" t="s">
        <v>74</v>
      </c>
      <c r="C2342" s="34">
        <v>6</v>
      </c>
      <c r="D2342" s="16">
        <f>E2342/C2342/12</f>
        <v>3192.7319444444443</v>
      </c>
      <c r="E2342" s="19">
        <v>229876.7</v>
      </c>
    </row>
    <row r="2343" spans="1:6" ht="11.25" customHeight="1" x14ac:dyDescent="0.2">
      <c r="A2343" s="8" t="s">
        <v>75</v>
      </c>
      <c r="B2343" s="9" t="s">
        <v>76</v>
      </c>
      <c r="C2343" s="16"/>
      <c r="D2343" s="16"/>
      <c r="E2343" s="19">
        <v>0</v>
      </c>
    </row>
    <row r="2344" spans="1:6" ht="11.25" customHeight="1" x14ac:dyDescent="0.2">
      <c r="A2344" s="8" t="s">
        <v>77</v>
      </c>
      <c r="B2344" s="9" t="s">
        <v>78</v>
      </c>
      <c r="C2344" s="16"/>
      <c r="D2344" s="16"/>
      <c r="E2344" s="19">
        <v>0</v>
      </c>
    </row>
    <row r="2345" spans="1:6" ht="11.25" customHeight="1" x14ac:dyDescent="0.2">
      <c r="A2345" s="8" t="s">
        <v>79</v>
      </c>
      <c r="B2345" s="9" t="s">
        <v>80</v>
      </c>
      <c r="C2345" s="16">
        <v>10988</v>
      </c>
      <c r="D2345" s="16">
        <f>E2345/C2345</f>
        <v>4.1502584637786679</v>
      </c>
      <c r="E2345" s="19">
        <v>45603.040000000001</v>
      </c>
    </row>
    <row r="2346" spans="1:6" ht="11.25" customHeight="1" x14ac:dyDescent="0.2">
      <c r="A2346" s="8" t="s">
        <v>81</v>
      </c>
      <c r="B2346" s="9" t="s">
        <v>82</v>
      </c>
      <c r="C2346" s="34">
        <v>430</v>
      </c>
      <c r="D2346" s="16">
        <f>E2346/C2346</f>
        <v>71.707116279069766</v>
      </c>
      <c r="E2346" s="19">
        <v>30834.06</v>
      </c>
    </row>
    <row r="2347" spans="1:6" ht="11.25" customHeight="1" x14ac:dyDescent="0.2">
      <c r="A2347" s="8" t="s">
        <v>83</v>
      </c>
      <c r="B2347" s="9" t="s">
        <v>194</v>
      </c>
      <c r="C2347" s="34">
        <v>215</v>
      </c>
      <c r="D2347" s="16">
        <f>E2347/C2347</f>
        <v>86.986000000000004</v>
      </c>
      <c r="E2347" s="19">
        <v>18701.990000000002</v>
      </c>
    </row>
    <row r="2348" spans="1:6" ht="11.25" customHeight="1" x14ac:dyDescent="0.2">
      <c r="A2348" s="8" t="s">
        <v>85</v>
      </c>
      <c r="B2348" s="9" t="s">
        <v>86</v>
      </c>
      <c r="C2348" s="16">
        <v>0.2</v>
      </c>
      <c r="D2348" s="16">
        <f>E2348/C2348</f>
        <v>19206.25</v>
      </c>
      <c r="E2348" s="19">
        <v>3841.25</v>
      </c>
    </row>
    <row r="2349" spans="1:6" ht="11.25" customHeight="1" x14ac:dyDescent="0.2">
      <c r="A2349" s="8" t="s">
        <v>87</v>
      </c>
      <c r="B2349" s="9" t="s">
        <v>88</v>
      </c>
      <c r="C2349" s="34">
        <v>215</v>
      </c>
      <c r="D2349" s="16">
        <f>E2349/C2349</f>
        <v>540.96018604651169</v>
      </c>
      <c r="E2349" s="19">
        <v>116306.44</v>
      </c>
    </row>
    <row r="2350" spans="1:6" ht="11.25" customHeight="1" x14ac:dyDescent="0.2">
      <c r="A2350" s="8" t="s">
        <v>89</v>
      </c>
      <c r="B2350" s="9" t="s">
        <v>90</v>
      </c>
      <c r="C2350" s="16"/>
      <c r="D2350" s="16"/>
      <c r="E2350" s="19">
        <v>0</v>
      </c>
    </row>
    <row r="2351" spans="1:6" ht="11.25" customHeight="1" x14ac:dyDescent="0.2">
      <c r="A2351" s="8" t="s">
        <v>91</v>
      </c>
      <c r="B2351" s="9" t="s">
        <v>202</v>
      </c>
      <c r="C2351" s="34">
        <v>6</v>
      </c>
      <c r="D2351" s="16">
        <f>E2351/C2351</f>
        <v>2769.6279364188008</v>
      </c>
      <c r="E2351" s="19">
        <f>2826.26*6*1.2*0.81663515754</f>
        <v>16617.767618512804</v>
      </c>
    </row>
    <row r="2352" spans="1:6" ht="11.25" customHeight="1" x14ac:dyDescent="0.2">
      <c r="A2352" s="8" t="s">
        <v>203</v>
      </c>
      <c r="B2352" s="9" t="s">
        <v>92</v>
      </c>
      <c r="C2352" s="16"/>
      <c r="D2352" s="16"/>
      <c r="E2352" s="19">
        <v>0</v>
      </c>
    </row>
    <row r="2353" spans="1:6" ht="15" customHeight="1" x14ac:dyDescent="0.2">
      <c r="A2353" s="5">
        <v>4</v>
      </c>
      <c r="B2353" s="6" t="s">
        <v>193</v>
      </c>
      <c r="C2353" s="16"/>
      <c r="D2353" s="16"/>
      <c r="E2353" s="17">
        <f>F2354/1.1*0.1</f>
        <v>348099.84000000003</v>
      </c>
    </row>
    <row r="2354" spans="1:6" ht="18.75" customHeight="1" x14ac:dyDescent="0.2">
      <c r="A2354" s="10"/>
      <c r="B2354" s="11" t="s">
        <v>94</v>
      </c>
      <c r="C2354" s="21"/>
      <c r="D2354" s="21"/>
      <c r="E2354" s="17">
        <f>E2320+E2333+E2341+E2353</f>
        <v>3829098.2436185125</v>
      </c>
      <c r="F2354" s="25">
        <f>E2307*29.04*12</f>
        <v>3829098.24</v>
      </c>
    </row>
    <row r="2355" spans="1:6" ht="15" customHeight="1" x14ac:dyDescent="0.25">
      <c r="A2355" s="10"/>
      <c r="B2355" s="11" t="s">
        <v>199</v>
      </c>
      <c r="C2355" s="21"/>
      <c r="D2355" s="21"/>
      <c r="E2355" s="22">
        <v>29.04</v>
      </c>
    </row>
    <row r="2356" spans="1:6" ht="10.95" customHeight="1" x14ac:dyDescent="0.2"/>
    <row r="2357" spans="1:6" ht="10.95" customHeight="1" x14ac:dyDescent="0.2"/>
    <row r="2358" spans="1:6" ht="10.95" customHeight="1" x14ac:dyDescent="0.2"/>
    <row r="2359" spans="1:6" ht="15" customHeight="1" x14ac:dyDescent="0.25">
      <c r="B2359" s="12" t="s">
        <v>96</v>
      </c>
    </row>
    <row r="2360" spans="1:6" ht="12" customHeight="1" x14ac:dyDescent="0.2"/>
    <row r="2361" spans="1:6" ht="13.2" customHeight="1" x14ac:dyDescent="0.25">
      <c r="B2361" s="3" t="s">
        <v>97</v>
      </c>
    </row>
    <row r="2362" spans="1:6" ht="7.95" customHeight="1" x14ac:dyDescent="0.2"/>
    <row r="2363" spans="1:6" ht="12" customHeight="1" x14ac:dyDescent="0.25">
      <c r="B2363" s="41" t="s">
        <v>100</v>
      </c>
      <c r="C2363" s="41"/>
      <c r="D2363" s="41"/>
      <c r="E2363" s="41"/>
    </row>
    <row r="2364" spans="1:6" ht="10.95" customHeight="1" x14ac:dyDescent="0.2"/>
    <row r="2365" spans="1:6" ht="10.95" customHeight="1" x14ac:dyDescent="0.2"/>
    <row r="2366" spans="1:6" ht="10.95" customHeight="1" x14ac:dyDescent="0.2"/>
    <row r="2367" spans="1:6" ht="16.2" customHeight="1" x14ac:dyDescent="0.2">
      <c r="A2367" s="39" t="s">
        <v>0</v>
      </c>
      <c r="B2367" s="39"/>
      <c r="C2367" s="39"/>
      <c r="D2367" s="39"/>
      <c r="E2367" s="39"/>
    </row>
    <row r="2368" spans="1:6" ht="10.95" customHeight="1" x14ac:dyDescent="0.2">
      <c r="A2368" s="40" t="s">
        <v>1</v>
      </c>
      <c r="B2368" s="40"/>
      <c r="C2368" s="40"/>
      <c r="D2368" s="40"/>
      <c r="E2368" s="40"/>
    </row>
    <row r="2369" spans="1:5" ht="13.2" customHeight="1" x14ac:dyDescent="0.2">
      <c r="A2369" s="40" t="s">
        <v>198</v>
      </c>
      <c r="B2369" s="40"/>
      <c r="C2369" s="40"/>
      <c r="D2369" s="40"/>
      <c r="E2369" s="40"/>
    </row>
    <row r="2370" spans="1:5" ht="10.95" customHeight="1" x14ac:dyDescent="0.2"/>
    <row r="2371" spans="1:5" ht="10.95" customHeight="1" x14ac:dyDescent="0.2">
      <c r="C2371" s="42" t="s">
        <v>3</v>
      </c>
      <c r="D2371" s="42"/>
      <c r="E2371" s="42"/>
    </row>
    <row r="2372" spans="1:5" ht="12" customHeight="1" x14ac:dyDescent="0.2">
      <c r="D2372" s="26" t="s">
        <v>4</v>
      </c>
      <c r="E2372" s="24">
        <v>18235.900000000001</v>
      </c>
    </row>
    <row r="2373" spans="1:5" ht="12" customHeight="1" x14ac:dyDescent="0.2">
      <c r="D2373" s="26" t="s">
        <v>5</v>
      </c>
      <c r="E2373" s="23">
        <v>145.69999999999999</v>
      </c>
    </row>
    <row r="2374" spans="1:5" ht="12" customHeight="1" x14ac:dyDescent="0.2">
      <c r="D2374" s="26" t="s">
        <v>6</v>
      </c>
      <c r="E2374" s="30">
        <v>10</v>
      </c>
    </row>
    <row r="2375" spans="1:5" ht="12" customHeight="1" x14ac:dyDescent="0.2">
      <c r="D2375" s="26" t="s">
        <v>7</v>
      </c>
      <c r="E2375" s="30">
        <v>9</v>
      </c>
    </row>
    <row r="2376" spans="1:5" ht="12" customHeight="1" x14ac:dyDescent="0.2">
      <c r="D2376" s="26" t="s">
        <v>8</v>
      </c>
      <c r="E2376" s="30">
        <v>356</v>
      </c>
    </row>
    <row r="2377" spans="1:5" ht="12" customHeight="1" x14ac:dyDescent="0.2">
      <c r="D2377" s="26" t="s">
        <v>9</v>
      </c>
      <c r="E2377" s="30">
        <v>909</v>
      </c>
    </row>
    <row r="2378" spans="1:5" ht="12" customHeight="1" x14ac:dyDescent="0.2">
      <c r="D2378" s="26" t="s">
        <v>10</v>
      </c>
      <c r="E2378" s="30">
        <v>10</v>
      </c>
    </row>
    <row r="2379" spans="1:5" ht="12" customHeight="1" x14ac:dyDescent="0.2">
      <c r="D2379" s="26" t="s">
        <v>11</v>
      </c>
      <c r="E2379" s="30">
        <v>0</v>
      </c>
    </row>
    <row r="2380" spans="1:5" ht="12" customHeight="1" x14ac:dyDescent="0.2">
      <c r="D2380" s="26" t="s">
        <v>12</v>
      </c>
      <c r="E2380" s="30">
        <v>0</v>
      </c>
    </row>
    <row r="2381" spans="1:5" ht="12" customHeight="1" x14ac:dyDescent="0.2">
      <c r="D2381" s="26" t="s">
        <v>13</v>
      </c>
      <c r="E2381" s="30">
        <v>2072</v>
      </c>
    </row>
    <row r="2382" spans="1:5" ht="12" customHeight="1" x14ac:dyDescent="0.25">
      <c r="A2382" s="2" t="s">
        <v>14</v>
      </c>
      <c r="B2382" s="3" t="s">
        <v>157</v>
      </c>
    </row>
    <row r="2383" spans="1:5" ht="10.95" customHeight="1" x14ac:dyDescent="0.2"/>
    <row r="2384" spans="1:5" ht="45" customHeight="1" x14ac:dyDescent="0.2">
      <c r="A2384" s="4" t="s">
        <v>15</v>
      </c>
      <c r="B2384" s="4" t="s">
        <v>131</v>
      </c>
      <c r="C2384" s="27" t="s">
        <v>17</v>
      </c>
      <c r="D2384" s="27" t="s">
        <v>103</v>
      </c>
      <c r="E2384" s="27" t="s">
        <v>19</v>
      </c>
    </row>
    <row r="2385" spans="1:6" ht="31.5" customHeight="1" x14ac:dyDescent="0.2">
      <c r="A2385" s="5">
        <v>1</v>
      </c>
      <c r="B2385" s="6" t="s">
        <v>190</v>
      </c>
      <c r="C2385" s="16"/>
      <c r="D2385" s="16"/>
      <c r="E2385" s="17">
        <f>E2386+E2393</f>
        <v>3516042.1003999999</v>
      </c>
    </row>
    <row r="2386" spans="1:6" ht="15" customHeight="1" x14ac:dyDescent="0.2">
      <c r="A2386" s="7" t="s">
        <v>21</v>
      </c>
      <c r="B2386" s="6" t="s">
        <v>132</v>
      </c>
      <c r="C2386" s="16"/>
      <c r="D2386" s="16"/>
      <c r="E2386" s="17">
        <f>SUM(E2387:E2392)</f>
        <v>1398473.8324</v>
      </c>
    </row>
    <row r="2387" spans="1:6" ht="11.25" customHeight="1" x14ac:dyDescent="0.2">
      <c r="A2387" s="15" t="s">
        <v>23</v>
      </c>
      <c r="B2387" s="9" t="s">
        <v>34</v>
      </c>
      <c r="C2387" s="16">
        <v>2.37</v>
      </c>
      <c r="D2387" s="16">
        <v>18781</v>
      </c>
      <c r="E2387" s="19">
        <f>ROUND(C2387*D2387,2)*12</f>
        <v>534131.64</v>
      </c>
      <c r="F2387" s="20"/>
    </row>
    <row r="2388" spans="1:6" ht="11.25" customHeight="1" x14ac:dyDescent="0.2">
      <c r="A2388" s="8" t="s">
        <v>31</v>
      </c>
      <c r="B2388" s="9" t="s">
        <v>36</v>
      </c>
      <c r="C2388" s="16">
        <v>2.12</v>
      </c>
      <c r="D2388" s="16">
        <v>18781</v>
      </c>
      <c r="E2388" s="19">
        <f>ROUND(C2388*D2388,2)*12</f>
        <v>477788.64</v>
      </c>
    </row>
    <row r="2389" spans="1:6" ht="11.25" customHeight="1" x14ac:dyDescent="0.2">
      <c r="A2389" s="8" t="s">
        <v>121</v>
      </c>
      <c r="B2389" s="9" t="s">
        <v>38</v>
      </c>
      <c r="C2389" s="16">
        <v>30.2</v>
      </c>
      <c r="D2389" s="16">
        <f>E2387</f>
        <v>534131.64</v>
      </c>
      <c r="E2389" s="19">
        <f>ROUND(C2389*D2389/100,2)</f>
        <v>161307.76</v>
      </c>
    </row>
    <row r="2390" spans="1:6" ht="11.25" customHeight="1" x14ac:dyDescent="0.2">
      <c r="A2390" s="8" t="s">
        <v>186</v>
      </c>
      <c r="B2390" s="9" t="s">
        <v>40</v>
      </c>
      <c r="C2390" s="16">
        <v>30.2</v>
      </c>
      <c r="D2390" s="16">
        <f>E2388</f>
        <v>477788.64</v>
      </c>
      <c r="E2390" s="19">
        <f>ROUND(C2390*D2390/100,2)</f>
        <v>144292.17000000001</v>
      </c>
    </row>
    <row r="2391" spans="1:6" ht="11.25" customHeight="1" x14ac:dyDescent="0.2">
      <c r="A2391" s="8" t="s">
        <v>187</v>
      </c>
      <c r="B2391" s="9" t="s">
        <v>42</v>
      </c>
      <c r="C2391" s="16"/>
      <c r="D2391" s="16"/>
      <c r="E2391" s="19">
        <f>E2387*0.08</f>
        <v>42730.531200000005</v>
      </c>
    </row>
    <row r="2392" spans="1:6" ht="11.25" customHeight="1" x14ac:dyDescent="0.2">
      <c r="A2392" s="8" t="s">
        <v>188</v>
      </c>
      <c r="B2392" s="9" t="s">
        <v>44</v>
      </c>
      <c r="C2392" s="16"/>
      <c r="D2392" s="16"/>
      <c r="E2392" s="19">
        <f>E2388*0.08</f>
        <v>38223.091200000003</v>
      </c>
    </row>
    <row r="2393" spans="1:6" ht="15" customHeight="1" x14ac:dyDescent="0.2">
      <c r="A2393" s="7" t="s">
        <v>45</v>
      </c>
      <c r="B2393" s="6" t="s">
        <v>189</v>
      </c>
      <c r="C2393" s="16"/>
      <c r="D2393" s="16"/>
      <c r="E2393" s="17">
        <f>E2394+E2395+E2396+E2397</f>
        <v>2117568.2680000002</v>
      </c>
    </row>
    <row r="2394" spans="1:6" ht="11.25" customHeight="1" x14ac:dyDescent="0.2">
      <c r="A2394" s="8" t="s">
        <v>47</v>
      </c>
      <c r="B2394" s="9" t="s">
        <v>48</v>
      </c>
      <c r="C2394" s="16">
        <v>4.9400000000000004</v>
      </c>
      <c r="D2394" s="16">
        <v>18781</v>
      </c>
      <c r="E2394" s="19">
        <f>ROUND(C2394*D2394,2)*12</f>
        <v>1113337.68</v>
      </c>
      <c r="F2394" s="20"/>
    </row>
    <row r="2395" spans="1:6" ht="11.25" customHeight="1" x14ac:dyDescent="0.2">
      <c r="A2395" s="8" t="s">
        <v>49</v>
      </c>
      <c r="B2395" s="9" t="s">
        <v>50</v>
      </c>
      <c r="C2395" s="16">
        <v>30.2</v>
      </c>
      <c r="D2395" s="16">
        <f>E2394</f>
        <v>1113337.68</v>
      </c>
      <c r="E2395" s="19">
        <f>ROUND(C2395*D2395/100,2)</f>
        <v>336227.98</v>
      </c>
    </row>
    <row r="2396" spans="1:6" ht="11.25" customHeight="1" x14ac:dyDescent="0.2">
      <c r="A2396" s="8" t="s">
        <v>51</v>
      </c>
      <c r="B2396" s="9" t="s">
        <v>52</v>
      </c>
      <c r="C2396" s="16"/>
      <c r="D2396" s="16"/>
      <c r="E2396" s="19">
        <f>E2394*0.5</f>
        <v>556668.84</v>
      </c>
    </row>
    <row r="2397" spans="1:6" ht="11.25" customHeight="1" x14ac:dyDescent="0.2">
      <c r="A2397" s="8" t="s">
        <v>53</v>
      </c>
      <c r="B2397" s="9" t="s">
        <v>54</v>
      </c>
      <c r="C2397" s="16"/>
      <c r="D2397" s="16"/>
      <c r="E2397" s="19">
        <f>E2394*0.1</f>
        <v>111333.768</v>
      </c>
    </row>
    <row r="2398" spans="1:6" ht="20.100000000000001" customHeight="1" x14ac:dyDescent="0.2">
      <c r="A2398" s="5">
        <v>2</v>
      </c>
      <c r="B2398" s="6" t="s">
        <v>57</v>
      </c>
      <c r="C2398" s="16"/>
      <c r="D2398" s="16"/>
      <c r="E2398" s="17">
        <f>E2399+E2401+E2402+E2403+E2404+E2405+E2400</f>
        <v>1488958.5899999999</v>
      </c>
    </row>
    <row r="2399" spans="1:6" ht="11.25" customHeight="1" x14ac:dyDescent="0.2">
      <c r="A2399" s="35" t="s">
        <v>58</v>
      </c>
      <c r="B2399" s="9" t="s">
        <v>204</v>
      </c>
      <c r="C2399" s="16">
        <v>1318.05</v>
      </c>
      <c r="D2399" s="16">
        <f>E2399/C2399</f>
        <v>177.97000113804484</v>
      </c>
      <c r="E2399" s="19">
        <v>234573.36</v>
      </c>
    </row>
    <row r="2400" spans="1:6" ht="11.25" customHeight="1" x14ac:dyDescent="0.2">
      <c r="A2400" s="35" t="s">
        <v>60</v>
      </c>
      <c r="B2400" s="9" t="s">
        <v>195</v>
      </c>
      <c r="C2400" s="16">
        <v>1318.05</v>
      </c>
      <c r="D2400" s="16">
        <f>E2400/C2400</f>
        <v>219.63343575736883</v>
      </c>
      <c r="E2400" s="19">
        <v>289487.84999999998</v>
      </c>
    </row>
    <row r="2401" spans="1:5" ht="11.25" customHeight="1" x14ac:dyDescent="0.2">
      <c r="A2401" s="35" t="s">
        <v>62</v>
      </c>
      <c r="B2401" s="9" t="s">
        <v>196</v>
      </c>
      <c r="C2401" s="16">
        <v>418.14</v>
      </c>
      <c r="D2401" s="16">
        <f>E2401/C2401</f>
        <v>848.40125316879517</v>
      </c>
      <c r="E2401" s="19">
        <v>354750.5</v>
      </c>
    </row>
    <row r="2402" spans="1:5" ht="11.25" customHeight="1" x14ac:dyDescent="0.2">
      <c r="A2402" s="35" t="s">
        <v>64</v>
      </c>
      <c r="B2402" s="9" t="s">
        <v>63</v>
      </c>
      <c r="C2402" s="16">
        <f>E2402/D2402</f>
        <v>65851.656307129801</v>
      </c>
      <c r="D2402" s="16">
        <v>5.47</v>
      </c>
      <c r="E2402" s="19">
        <f>382900-27001.66+4310.22</f>
        <v>360208.56</v>
      </c>
    </row>
    <row r="2403" spans="1:5" ht="11.25" customHeight="1" x14ac:dyDescent="0.2">
      <c r="A2403" s="35" t="s">
        <v>66</v>
      </c>
      <c r="B2403" s="9" t="s">
        <v>65</v>
      </c>
      <c r="C2403" s="16">
        <f>E2403/D2403</f>
        <v>2878.7351343415062</v>
      </c>
      <c r="D2403" s="16">
        <v>68.11</v>
      </c>
      <c r="E2403" s="19">
        <v>196070.65</v>
      </c>
    </row>
    <row r="2404" spans="1:5" ht="11.25" customHeight="1" x14ac:dyDescent="0.2">
      <c r="A2404" s="35" t="s">
        <v>68</v>
      </c>
      <c r="B2404" s="9" t="s">
        <v>69</v>
      </c>
      <c r="C2404" s="16">
        <v>2793.7</v>
      </c>
      <c r="D2404" s="16">
        <f>E2404/C2404</f>
        <v>3.3499982102587964</v>
      </c>
      <c r="E2404" s="19">
        <v>9358.89</v>
      </c>
    </row>
    <row r="2405" spans="1:5" ht="11.25" customHeight="1" x14ac:dyDescent="0.2">
      <c r="A2405" s="35" t="s">
        <v>70</v>
      </c>
      <c r="B2405" s="9" t="s">
        <v>71</v>
      </c>
      <c r="C2405" s="16">
        <v>236.7</v>
      </c>
      <c r="D2405" s="16">
        <f>E2405/C2405</f>
        <v>188.03878326996198</v>
      </c>
      <c r="E2405" s="19">
        <v>44508.78</v>
      </c>
    </row>
    <row r="2406" spans="1:5" ht="20.100000000000001" customHeight="1" x14ac:dyDescent="0.2">
      <c r="A2406" s="5">
        <v>3</v>
      </c>
      <c r="B2406" s="6" t="s">
        <v>72</v>
      </c>
      <c r="C2406" s="16"/>
      <c r="D2406" s="16"/>
      <c r="E2406" s="17">
        <f>E2407+E2408+E2409+E2410+E2411+E2412+E2413+E2414+E2415+E2417+E2416</f>
        <v>772132.42940199899</v>
      </c>
    </row>
    <row r="2407" spans="1:5" ht="11.25" customHeight="1" x14ac:dyDescent="0.2">
      <c r="A2407" s="8" t="s">
        <v>73</v>
      </c>
      <c r="B2407" s="9" t="s">
        <v>74</v>
      </c>
      <c r="C2407" s="34">
        <v>10</v>
      </c>
      <c r="D2407" s="16">
        <f>E2407/C2407/12</f>
        <v>3192.732</v>
      </c>
      <c r="E2407" s="19">
        <v>383127.84</v>
      </c>
    </row>
    <row r="2408" spans="1:5" ht="11.25" customHeight="1" x14ac:dyDescent="0.2">
      <c r="A2408" s="8" t="s">
        <v>75</v>
      </c>
      <c r="B2408" s="9" t="s">
        <v>76</v>
      </c>
      <c r="C2408" s="16"/>
      <c r="D2408" s="16"/>
      <c r="E2408" s="19">
        <v>0</v>
      </c>
    </row>
    <row r="2409" spans="1:5" ht="11.25" customHeight="1" x14ac:dyDescent="0.2">
      <c r="A2409" s="8" t="s">
        <v>77</v>
      </c>
      <c r="B2409" s="9" t="s">
        <v>78</v>
      </c>
      <c r="C2409" s="16"/>
      <c r="D2409" s="16"/>
      <c r="E2409" s="19">
        <v>0</v>
      </c>
    </row>
    <row r="2410" spans="1:5" ht="11.25" customHeight="1" x14ac:dyDescent="0.2">
      <c r="A2410" s="8" t="s">
        <v>79</v>
      </c>
      <c r="B2410" s="9" t="s">
        <v>80</v>
      </c>
      <c r="C2410" s="16">
        <v>18235.900000000001</v>
      </c>
      <c r="D2410" s="16">
        <f>E2410/C2410</f>
        <v>4.1832270411660515</v>
      </c>
      <c r="E2410" s="19">
        <v>76284.91</v>
      </c>
    </row>
    <row r="2411" spans="1:5" ht="11.25" customHeight="1" x14ac:dyDescent="0.2">
      <c r="A2411" s="8" t="s">
        <v>81</v>
      </c>
      <c r="B2411" s="9" t="s">
        <v>82</v>
      </c>
      <c r="C2411" s="34">
        <v>712</v>
      </c>
      <c r="D2411" s="16">
        <f>E2411/C2411</f>
        <v>71.750491573033699</v>
      </c>
      <c r="E2411" s="19">
        <v>51086.35</v>
      </c>
    </row>
    <row r="2412" spans="1:5" ht="11.25" customHeight="1" x14ac:dyDescent="0.2">
      <c r="A2412" s="8" t="s">
        <v>83</v>
      </c>
      <c r="B2412" s="9" t="s">
        <v>194</v>
      </c>
      <c r="C2412" s="34">
        <v>356</v>
      </c>
      <c r="D2412" s="16">
        <f>E2412/C2412</f>
        <v>86.832162921348313</v>
      </c>
      <c r="E2412" s="19">
        <v>30912.25</v>
      </c>
    </row>
    <row r="2413" spans="1:5" ht="11.25" customHeight="1" x14ac:dyDescent="0.2">
      <c r="A2413" s="8" t="s">
        <v>85</v>
      </c>
      <c r="B2413" s="9" t="s">
        <v>86</v>
      </c>
      <c r="C2413" s="16">
        <v>0.5</v>
      </c>
      <c r="D2413" s="16">
        <f>E2413/C2413</f>
        <v>19206.259999999998</v>
      </c>
      <c r="E2413" s="19">
        <v>9603.1299999999992</v>
      </c>
    </row>
    <row r="2414" spans="1:5" ht="11.25" customHeight="1" x14ac:dyDescent="0.2">
      <c r="A2414" s="8" t="s">
        <v>87</v>
      </c>
      <c r="B2414" s="9" t="s">
        <v>88</v>
      </c>
      <c r="C2414" s="34">
        <v>356</v>
      </c>
      <c r="D2414" s="16">
        <f>E2414/C2414</f>
        <v>543.32205056179771</v>
      </c>
      <c r="E2414" s="19">
        <v>193422.65</v>
      </c>
    </row>
    <row r="2415" spans="1:5" ht="11.25" customHeight="1" x14ac:dyDescent="0.2">
      <c r="A2415" s="8" t="s">
        <v>89</v>
      </c>
      <c r="B2415" s="9" t="s">
        <v>90</v>
      </c>
      <c r="C2415" s="16"/>
      <c r="D2415" s="16"/>
      <c r="E2415" s="19">
        <v>0</v>
      </c>
    </row>
    <row r="2416" spans="1:5" ht="11.25" customHeight="1" x14ac:dyDescent="0.2">
      <c r="A2416" s="8" t="s">
        <v>91</v>
      </c>
      <c r="B2416" s="9" t="s">
        <v>202</v>
      </c>
      <c r="C2416" s="34">
        <v>10</v>
      </c>
      <c r="D2416" s="16">
        <f>E2416/C2416</f>
        <v>2769.5299401998955</v>
      </c>
      <c r="E2416" s="19">
        <f>2826.16*10*1.2*0.81663515754</f>
        <v>27695.299401998956</v>
      </c>
    </row>
    <row r="2417" spans="1:6" ht="11.25" customHeight="1" x14ac:dyDescent="0.2">
      <c r="A2417" s="8" t="s">
        <v>203</v>
      </c>
      <c r="B2417" s="9" t="s">
        <v>92</v>
      </c>
      <c r="C2417" s="16"/>
      <c r="D2417" s="16"/>
      <c r="E2417" s="19">
        <v>0</v>
      </c>
    </row>
    <row r="2418" spans="1:6" ht="15" customHeight="1" x14ac:dyDescent="0.2">
      <c r="A2418" s="5">
        <v>4</v>
      </c>
      <c r="B2418" s="6" t="s">
        <v>193</v>
      </c>
      <c r="C2418" s="16"/>
      <c r="D2418" s="16"/>
      <c r="E2418" s="17">
        <f>F2419/1.1*0.1</f>
        <v>577713.31200000003</v>
      </c>
    </row>
    <row r="2419" spans="1:6" ht="18.75" customHeight="1" x14ac:dyDescent="0.2">
      <c r="A2419" s="10"/>
      <c r="B2419" s="11" t="s">
        <v>94</v>
      </c>
      <c r="C2419" s="21"/>
      <c r="D2419" s="21"/>
      <c r="E2419" s="17">
        <f>E2385+E2398+E2406+E2418</f>
        <v>6354846.431801999</v>
      </c>
      <c r="F2419" s="25">
        <f>E2372*29.04*12</f>
        <v>6354846.432000001</v>
      </c>
    </row>
    <row r="2420" spans="1:6" ht="15" customHeight="1" x14ac:dyDescent="0.25">
      <c r="A2420" s="10"/>
      <c r="B2420" s="11" t="s">
        <v>199</v>
      </c>
      <c r="C2420" s="21"/>
      <c r="D2420" s="21"/>
      <c r="E2420" s="22">
        <v>29.04</v>
      </c>
    </row>
    <row r="2421" spans="1:6" ht="10.95" customHeight="1" x14ac:dyDescent="0.2"/>
    <row r="2422" spans="1:6" ht="10.95" customHeight="1" x14ac:dyDescent="0.2"/>
    <row r="2423" spans="1:6" ht="10.95" customHeight="1" x14ac:dyDescent="0.2"/>
    <row r="2424" spans="1:6" ht="15" customHeight="1" x14ac:dyDescent="0.25">
      <c r="B2424" s="12" t="s">
        <v>96</v>
      </c>
    </row>
    <row r="2425" spans="1:6" ht="12" customHeight="1" x14ac:dyDescent="0.2"/>
    <row r="2426" spans="1:6" ht="13.2" customHeight="1" x14ac:dyDescent="0.25">
      <c r="B2426" s="3" t="s">
        <v>97</v>
      </c>
    </row>
    <row r="2427" spans="1:6" ht="7.95" customHeight="1" x14ac:dyDescent="0.2"/>
    <row r="2428" spans="1:6" ht="12" customHeight="1" x14ac:dyDescent="0.25">
      <c r="B2428" s="41" t="s">
        <v>100</v>
      </c>
      <c r="C2428" s="41"/>
      <c r="D2428" s="41"/>
      <c r="E2428" s="41"/>
    </row>
    <row r="2429" spans="1:6" ht="10.95" customHeight="1" x14ac:dyDescent="0.2"/>
    <row r="2430" spans="1:6" ht="10.95" customHeight="1" x14ac:dyDescent="0.2"/>
    <row r="2431" spans="1:6" ht="10.95" customHeight="1" x14ac:dyDescent="0.2"/>
    <row r="2432" spans="1:6" ht="16.2" customHeight="1" x14ac:dyDescent="0.2">
      <c r="A2432" s="39" t="s">
        <v>0</v>
      </c>
      <c r="B2432" s="39"/>
      <c r="C2432" s="39"/>
      <c r="D2432" s="39"/>
      <c r="E2432" s="39"/>
    </row>
    <row r="2433" spans="1:5" ht="10.95" customHeight="1" x14ac:dyDescent="0.2">
      <c r="A2433" s="40" t="s">
        <v>1</v>
      </c>
      <c r="B2433" s="40"/>
      <c r="C2433" s="40"/>
      <c r="D2433" s="40"/>
      <c r="E2433" s="40"/>
    </row>
    <row r="2434" spans="1:5" ht="13.2" customHeight="1" x14ac:dyDescent="0.2">
      <c r="A2434" s="40" t="s">
        <v>198</v>
      </c>
      <c r="B2434" s="40"/>
      <c r="C2434" s="40"/>
      <c r="D2434" s="40"/>
      <c r="E2434" s="40"/>
    </row>
    <row r="2435" spans="1:5" ht="10.95" customHeight="1" x14ac:dyDescent="0.2"/>
    <row r="2436" spans="1:5" ht="10.95" customHeight="1" x14ac:dyDescent="0.2">
      <c r="C2436" s="42" t="s">
        <v>3</v>
      </c>
      <c r="D2436" s="42"/>
      <c r="E2436" s="42"/>
    </row>
    <row r="2437" spans="1:5" ht="12" customHeight="1" x14ac:dyDescent="0.2">
      <c r="D2437" s="26" t="s">
        <v>4</v>
      </c>
      <c r="E2437" s="24">
        <v>30215.3</v>
      </c>
    </row>
    <row r="2438" spans="1:5" ht="12" customHeight="1" x14ac:dyDescent="0.2">
      <c r="D2438" s="26" t="s">
        <v>5</v>
      </c>
      <c r="E2438" s="23">
        <v>58.5</v>
      </c>
    </row>
    <row r="2439" spans="1:5" ht="12" customHeight="1" x14ac:dyDescent="0.2">
      <c r="D2439" s="26" t="s">
        <v>6</v>
      </c>
      <c r="E2439" s="30">
        <v>12</v>
      </c>
    </row>
    <row r="2440" spans="1:5" ht="12" customHeight="1" x14ac:dyDescent="0.2">
      <c r="D2440" s="26" t="s">
        <v>7</v>
      </c>
      <c r="E2440" s="30">
        <v>12</v>
      </c>
    </row>
    <row r="2441" spans="1:5" ht="12" customHeight="1" x14ac:dyDescent="0.2">
      <c r="D2441" s="26" t="s">
        <v>8</v>
      </c>
      <c r="E2441" s="30">
        <v>575</v>
      </c>
    </row>
    <row r="2442" spans="1:5" ht="12" customHeight="1" x14ac:dyDescent="0.2">
      <c r="D2442" s="26" t="s">
        <v>9</v>
      </c>
      <c r="E2442" s="30">
        <v>1556</v>
      </c>
    </row>
    <row r="2443" spans="1:5" ht="12" customHeight="1" x14ac:dyDescent="0.2">
      <c r="D2443" s="26" t="s">
        <v>10</v>
      </c>
      <c r="E2443" s="30">
        <v>24</v>
      </c>
    </row>
    <row r="2444" spans="1:5" ht="12" customHeight="1" x14ac:dyDescent="0.2">
      <c r="D2444" s="26" t="s">
        <v>11</v>
      </c>
      <c r="E2444" s="30">
        <v>12</v>
      </c>
    </row>
    <row r="2445" spans="1:5" ht="12" customHeight="1" x14ac:dyDescent="0.2">
      <c r="D2445" s="26" t="s">
        <v>12</v>
      </c>
      <c r="E2445" s="30">
        <v>0</v>
      </c>
    </row>
    <row r="2446" spans="1:5" ht="12" customHeight="1" x14ac:dyDescent="0.2">
      <c r="D2446" s="26" t="s">
        <v>13</v>
      </c>
      <c r="E2446" s="30">
        <v>2657</v>
      </c>
    </row>
    <row r="2447" spans="1:5" ht="12" customHeight="1" x14ac:dyDescent="0.25">
      <c r="A2447" s="2" t="s">
        <v>14</v>
      </c>
      <c r="B2447" s="3" t="s">
        <v>158</v>
      </c>
    </row>
    <row r="2448" spans="1:5" ht="10.95" customHeight="1" x14ac:dyDescent="0.2"/>
    <row r="2449" spans="1:6" ht="45" customHeight="1" x14ac:dyDescent="0.2">
      <c r="A2449" s="4" t="s">
        <v>15</v>
      </c>
      <c r="B2449" s="4" t="s">
        <v>131</v>
      </c>
      <c r="C2449" s="27" t="s">
        <v>17</v>
      </c>
      <c r="D2449" s="27" t="s">
        <v>103</v>
      </c>
      <c r="E2449" s="27" t="s">
        <v>19</v>
      </c>
    </row>
    <row r="2450" spans="1:6" ht="31.5" customHeight="1" x14ac:dyDescent="0.2">
      <c r="A2450" s="5">
        <v>1</v>
      </c>
      <c r="B2450" s="6" t="s">
        <v>190</v>
      </c>
      <c r="C2450" s="16"/>
      <c r="D2450" s="16"/>
      <c r="E2450" s="17">
        <f>E2451+E2458</f>
        <v>5320582.1720000003</v>
      </c>
    </row>
    <row r="2451" spans="1:6" ht="15" customHeight="1" x14ac:dyDescent="0.2">
      <c r="A2451" s="7" t="s">
        <v>21</v>
      </c>
      <c r="B2451" s="6" t="s">
        <v>132</v>
      </c>
      <c r="C2451" s="16"/>
      <c r="D2451" s="16"/>
      <c r="E2451" s="17">
        <f>SUM(E2452:E2457)</f>
        <v>1908468.1199999999</v>
      </c>
    </row>
    <row r="2452" spans="1:6" ht="11.25" customHeight="1" x14ac:dyDescent="0.2">
      <c r="A2452" s="15" t="s">
        <v>23</v>
      </c>
      <c r="B2452" s="9" t="s">
        <v>34</v>
      </c>
      <c r="C2452" s="16">
        <v>2.4700000000000002</v>
      </c>
      <c r="D2452" s="16">
        <v>18781</v>
      </c>
      <c r="E2452" s="19">
        <f>ROUND(C2452*D2452,2)*12</f>
        <v>556668.84</v>
      </c>
      <c r="F2452" s="20"/>
    </row>
    <row r="2453" spans="1:6" ht="11.25" customHeight="1" x14ac:dyDescent="0.2">
      <c r="A2453" s="8" t="s">
        <v>31</v>
      </c>
      <c r="B2453" s="9" t="s">
        <v>36</v>
      </c>
      <c r="C2453" s="16">
        <v>3.57</v>
      </c>
      <c r="D2453" s="16">
        <v>18781</v>
      </c>
      <c r="E2453" s="19">
        <f>ROUND(C2453*D2453,2)*12</f>
        <v>804578.04</v>
      </c>
    </row>
    <row r="2454" spans="1:6" ht="11.25" customHeight="1" x14ac:dyDescent="0.2">
      <c r="A2454" s="8" t="s">
        <v>121</v>
      </c>
      <c r="B2454" s="9" t="s">
        <v>38</v>
      </c>
      <c r="C2454" s="16">
        <v>30.2</v>
      </c>
      <c r="D2454" s="16">
        <f>E2452</f>
        <v>556668.84</v>
      </c>
      <c r="E2454" s="19">
        <f>ROUND(C2454*D2454/100,2)</f>
        <v>168113.99</v>
      </c>
    </row>
    <row r="2455" spans="1:6" ht="11.25" customHeight="1" x14ac:dyDescent="0.2">
      <c r="A2455" s="8" t="s">
        <v>186</v>
      </c>
      <c r="B2455" s="9" t="s">
        <v>40</v>
      </c>
      <c r="C2455" s="16">
        <v>30.2</v>
      </c>
      <c r="D2455" s="16">
        <f>E2453</f>
        <v>804578.04</v>
      </c>
      <c r="E2455" s="19">
        <f>ROUND(C2455*D2455/100,2)</f>
        <v>242982.57</v>
      </c>
    </row>
    <row r="2456" spans="1:6" ht="11.25" customHeight="1" x14ac:dyDescent="0.2">
      <c r="A2456" s="8" t="s">
        <v>187</v>
      </c>
      <c r="B2456" s="9" t="s">
        <v>42</v>
      </c>
      <c r="C2456" s="16"/>
      <c r="D2456" s="16"/>
      <c r="E2456" s="19">
        <f>ROUND(E2452*0.1,2)</f>
        <v>55666.879999999997</v>
      </c>
    </row>
    <row r="2457" spans="1:6" ht="11.25" customHeight="1" x14ac:dyDescent="0.2">
      <c r="A2457" s="8" t="s">
        <v>188</v>
      </c>
      <c r="B2457" s="9" t="s">
        <v>44</v>
      </c>
      <c r="C2457" s="16"/>
      <c r="D2457" s="16"/>
      <c r="E2457" s="19">
        <f>ROUND(E2453*0.1,2)</f>
        <v>80457.8</v>
      </c>
    </row>
    <row r="2458" spans="1:6" ht="15" customHeight="1" x14ac:dyDescent="0.2">
      <c r="A2458" s="7" t="s">
        <v>45</v>
      </c>
      <c r="B2458" s="6" t="s">
        <v>189</v>
      </c>
      <c r="C2458" s="16"/>
      <c r="D2458" s="16"/>
      <c r="E2458" s="17">
        <f>E2459+E2460+E2461+E2462</f>
        <v>3412114.0520000001</v>
      </c>
    </row>
    <row r="2459" spans="1:6" ht="11.25" customHeight="1" x14ac:dyDescent="0.2">
      <c r="A2459" s="8" t="s">
        <v>47</v>
      </c>
      <c r="B2459" s="9" t="s">
        <v>48</v>
      </c>
      <c r="C2459" s="16">
        <v>7.96</v>
      </c>
      <c r="D2459" s="16">
        <v>18781</v>
      </c>
      <c r="E2459" s="19">
        <f>ROUND(C2459*D2459,2)*12</f>
        <v>1793961.12</v>
      </c>
      <c r="F2459" s="20"/>
    </row>
    <row r="2460" spans="1:6" ht="11.25" customHeight="1" x14ac:dyDescent="0.2">
      <c r="A2460" s="8" t="s">
        <v>49</v>
      </c>
      <c r="B2460" s="9" t="s">
        <v>50</v>
      </c>
      <c r="C2460" s="16">
        <v>30.2</v>
      </c>
      <c r="D2460" s="16">
        <f>E2459</f>
        <v>1793961.12</v>
      </c>
      <c r="E2460" s="19">
        <f>ROUND(C2460*D2460/100,2)</f>
        <v>541776.26</v>
      </c>
    </row>
    <row r="2461" spans="1:6" ht="11.25" customHeight="1" x14ac:dyDescent="0.2">
      <c r="A2461" s="8" t="s">
        <v>51</v>
      </c>
      <c r="B2461" s="9" t="s">
        <v>52</v>
      </c>
      <c r="C2461" s="16"/>
      <c r="D2461" s="16"/>
      <c r="E2461" s="19">
        <f>E2459*0.5</f>
        <v>896980.56</v>
      </c>
    </row>
    <row r="2462" spans="1:6" ht="11.25" customHeight="1" x14ac:dyDescent="0.2">
      <c r="A2462" s="8" t="s">
        <v>53</v>
      </c>
      <c r="B2462" s="9" t="s">
        <v>54</v>
      </c>
      <c r="C2462" s="16"/>
      <c r="D2462" s="16"/>
      <c r="E2462" s="19">
        <f>E2459*0.1</f>
        <v>179396.11200000002</v>
      </c>
    </row>
    <row r="2463" spans="1:6" ht="20.100000000000001" customHeight="1" x14ac:dyDescent="0.2">
      <c r="A2463" s="5">
        <v>2</v>
      </c>
      <c r="B2463" s="6" t="s">
        <v>57</v>
      </c>
      <c r="C2463" s="16"/>
      <c r="D2463" s="16"/>
      <c r="E2463" s="17">
        <f>E2464+E2466+E2467+E2468+E2469+E2470+E2465</f>
        <v>2405247.1900000004</v>
      </c>
    </row>
    <row r="2464" spans="1:6" ht="11.25" customHeight="1" x14ac:dyDescent="0.2">
      <c r="A2464" s="35" t="s">
        <v>58</v>
      </c>
      <c r="B2464" s="9" t="s">
        <v>204</v>
      </c>
      <c r="C2464" s="16">
        <v>2256.1999999999998</v>
      </c>
      <c r="D2464" s="16">
        <f>E2464/C2464</f>
        <v>177.96999822710754</v>
      </c>
      <c r="E2464" s="19">
        <v>401535.91</v>
      </c>
    </row>
    <row r="2465" spans="1:6" ht="11.25" customHeight="1" x14ac:dyDescent="0.2">
      <c r="A2465" s="35" t="s">
        <v>60</v>
      </c>
      <c r="B2465" s="9" t="s">
        <v>195</v>
      </c>
      <c r="C2465" s="16">
        <v>2256.1999999999998</v>
      </c>
      <c r="D2465" s="16">
        <f>E2465/C2465</f>
        <v>219.63343231982984</v>
      </c>
      <c r="E2465" s="19">
        <v>495536.95</v>
      </c>
    </row>
    <row r="2466" spans="1:6" ht="11.25" customHeight="1" x14ac:dyDescent="0.2">
      <c r="A2466" s="35" t="s">
        <v>62</v>
      </c>
      <c r="B2466" s="9" t="s">
        <v>196</v>
      </c>
      <c r="C2466" s="16">
        <v>715.76</v>
      </c>
      <c r="D2466" s="16">
        <f>E2466/C2466</f>
        <v>848.40125181625137</v>
      </c>
      <c r="E2466" s="19">
        <v>607251.68000000005</v>
      </c>
    </row>
    <row r="2467" spans="1:6" ht="11.25" customHeight="1" x14ac:dyDescent="0.2">
      <c r="A2467" s="35" t="s">
        <v>64</v>
      </c>
      <c r="B2467" s="9" t="s">
        <v>63</v>
      </c>
      <c r="C2467" s="16">
        <f>E2467/D2467</f>
        <v>97153.493601462527</v>
      </c>
      <c r="D2467" s="16">
        <v>5.47</v>
      </c>
      <c r="E2467" s="19">
        <f>574350+53876.44-96796.83</f>
        <v>531429.61</v>
      </c>
      <c r="F2467" s="20"/>
    </row>
    <row r="2468" spans="1:6" ht="11.25" customHeight="1" x14ac:dyDescent="0.2">
      <c r="A2468" s="35" t="s">
        <v>66</v>
      </c>
      <c r="B2468" s="9" t="s">
        <v>65</v>
      </c>
      <c r="C2468" s="16">
        <f>E2468/D2468</f>
        <v>4207.6515930113055</v>
      </c>
      <c r="D2468" s="16">
        <v>68.11</v>
      </c>
      <c r="E2468" s="19">
        <v>286583.15000000002</v>
      </c>
    </row>
    <row r="2469" spans="1:6" ht="11.25" customHeight="1" x14ac:dyDescent="0.2">
      <c r="A2469" s="35" t="s">
        <v>68</v>
      </c>
      <c r="B2469" s="9" t="s">
        <v>69</v>
      </c>
      <c r="C2469" s="16">
        <v>3491.3</v>
      </c>
      <c r="D2469" s="16">
        <f>E2469/C2469</f>
        <v>3.3499985678687021</v>
      </c>
      <c r="E2469" s="19">
        <v>11695.85</v>
      </c>
    </row>
    <row r="2470" spans="1:6" ht="11.25" customHeight="1" x14ac:dyDescent="0.2">
      <c r="A2470" s="35" t="s">
        <v>70</v>
      </c>
      <c r="B2470" s="9" t="s">
        <v>71</v>
      </c>
      <c r="C2470" s="16">
        <v>378.72</v>
      </c>
      <c r="D2470" s="16">
        <f>E2470/C2470</f>
        <v>188.03876214617657</v>
      </c>
      <c r="E2470" s="19">
        <v>71214.039999999994</v>
      </c>
    </row>
    <row r="2471" spans="1:6" ht="20.100000000000001" customHeight="1" x14ac:dyDescent="0.2">
      <c r="A2471" s="5">
        <v>3</v>
      </c>
      <c r="B2471" s="6" t="s">
        <v>72</v>
      </c>
      <c r="C2471" s="16"/>
      <c r="D2471" s="16"/>
      <c r="E2471" s="17">
        <f>E2472+E2473+E2474+E2475+E2476+E2477+E2478+E2479+E2480+E2482+E2481</f>
        <v>1846377.6746843979</v>
      </c>
    </row>
    <row r="2472" spans="1:6" ht="11.25" customHeight="1" x14ac:dyDescent="0.2">
      <c r="A2472" s="8" t="s">
        <v>73</v>
      </c>
      <c r="B2472" s="9" t="s">
        <v>74</v>
      </c>
      <c r="C2472" s="34">
        <v>24</v>
      </c>
      <c r="D2472" s="16">
        <f>E2472/C2472/12</f>
        <v>3698.7420138888888</v>
      </c>
      <c r="E2472" s="19">
        <v>1065237.7</v>
      </c>
    </row>
    <row r="2473" spans="1:6" ht="11.25" customHeight="1" x14ac:dyDescent="0.2">
      <c r="A2473" s="8" t="s">
        <v>75</v>
      </c>
      <c r="B2473" s="9" t="s">
        <v>76</v>
      </c>
      <c r="C2473" s="16"/>
      <c r="D2473" s="16"/>
      <c r="E2473" s="19">
        <v>0</v>
      </c>
    </row>
    <row r="2474" spans="1:6" ht="11.25" customHeight="1" x14ac:dyDescent="0.2">
      <c r="A2474" s="8" t="s">
        <v>77</v>
      </c>
      <c r="B2474" s="9" t="s">
        <v>78</v>
      </c>
      <c r="C2474" s="34">
        <v>12</v>
      </c>
      <c r="D2474" s="16">
        <f>14824.1/12</f>
        <v>1235.3416666666667</v>
      </c>
      <c r="E2474" s="19">
        <v>133751.91</v>
      </c>
    </row>
    <row r="2475" spans="1:6" ht="11.25" customHeight="1" x14ac:dyDescent="0.2">
      <c r="A2475" s="8" t="s">
        <v>79</v>
      </c>
      <c r="B2475" s="9" t="s">
        <v>80</v>
      </c>
      <c r="C2475" s="16">
        <v>30215.3</v>
      </c>
      <c r="D2475" s="16">
        <f>E2475/C2475</f>
        <v>4.1581043378685631</v>
      </c>
      <c r="E2475" s="19">
        <v>125638.37</v>
      </c>
    </row>
    <row r="2476" spans="1:6" ht="11.25" customHeight="1" x14ac:dyDescent="0.2">
      <c r="A2476" s="8" t="s">
        <v>81</v>
      </c>
      <c r="B2476" s="9" t="s">
        <v>82</v>
      </c>
      <c r="C2476" s="34">
        <v>1150</v>
      </c>
      <c r="D2476" s="16">
        <f>E2476/C2476</f>
        <v>71.039226086956518</v>
      </c>
      <c r="E2476" s="19">
        <v>81695.11</v>
      </c>
    </row>
    <row r="2477" spans="1:6" ht="11.25" customHeight="1" x14ac:dyDescent="0.2">
      <c r="A2477" s="8" t="s">
        <v>83</v>
      </c>
      <c r="B2477" s="9" t="s">
        <v>194</v>
      </c>
      <c r="C2477" s="34">
        <v>575</v>
      </c>
      <c r="D2477" s="16">
        <f>E2477/C2477</f>
        <v>86.679739130434783</v>
      </c>
      <c r="E2477" s="19">
        <v>49840.85</v>
      </c>
    </row>
    <row r="2478" spans="1:6" ht="11.25" customHeight="1" x14ac:dyDescent="0.2">
      <c r="A2478" s="8" t="s">
        <v>85</v>
      </c>
      <c r="B2478" s="9" t="s">
        <v>86</v>
      </c>
      <c r="C2478" s="16">
        <v>0.5</v>
      </c>
      <c r="D2478" s="16">
        <f>E2478/C2478</f>
        <v>19206.259999999998</v>
      </c>
      <c r="E2478" s="19">
        <v>9603.1299999999992</v>
      </c>
    </row>
    <row r="2479" spans="1:6" ht="11.25" customHeight="1" x14ac:dyDescent="0.2">
      <c r="A2479" s="8" t="s">
        <v>87</v>
      </c>
      <c r="B2479" s="9" t="s">
        <v>88</v>
      </c>
      <c r="C2479" s="34">
        <v>570</v>
      </c>
      <c r="D2479" s="16">
        <f>E2479/C2479</f>
        <v>553.37833333333333</v>
      </c>
      <c r="E2479" s="19">
        <v>315425.65000000002</v>
      </c>
    </row>
    <row r="2480" spans="1:6" ht="11.25" customHeight="1" x14ac:dyDescent="0.2">
      <c r="A2480" s="8" t="s">
        <v>89</v>
      </c>
      <c r="B2480" s="9" t="s">
        <v>90</v>
      </c>
      <c r="C2480" s="16"/>
      <c r="D2480" s="16"/>
      <c r="E2480" s="19">
        <v>0</v>
      </c>
    </row>
    <row r="2481" spans="1:6" ht="11.25" customHeight="1" x14ac:dyDescent="0.2">
      <c r="A2481" s="8" t="s">
        <v>91</v>
      </c>
      <c r="B2481" s="9" t="s">
        <v>202</v>
      </c>
      <c r="C2481" s="34">
        <v>24</v>
      </c>
      <c r="D2481" s="16">
        <f>E2481/C2481</f>
        <v>2716.039778516571</v>
      </c>
      <c r="E2481" s="19">
        <f>1773.04*2*1.2+2826.16*22*1.2*0.81663515754</f>
        <v>65184.954684397708</v>
      </c>
    </row>
    <row r="2482" spans="1:6" ht="11.25" customHeight="1" x14ac:dyDescent="0.2">
      <c r="A2482" s="8" t="s">
        <v>203</v>
      </c>
      <c r="B2482" s="9" t="s">
        <v>92</v>
      </c>
      <c r="C2482" s="16"/>
      <c r="D2482" s="16"/>
      <c r="E2482" s="19">
        <v>0</v>
      </c>
    </row>
    <row r="2483" spans="1:6" ht="15" customHeight="1" x14ac:dyDescent="0.2">
      <c r="A2483" s="5">
        <v>4</v>
      </c>
      <c r="B2483" s="6" t="s">
        <v>193</v>
      </c>
      <c r="C2483" s="16"/>
      <c r="D2483" s="16"/>
      <c r="E2483" s="17">
        <f>F2484/1.1*0.1</f>
        <v>957220.70399999991</v>
      </c>
    </row>
    <row r="2484" spans="1:6" ht="18.75" customHeight="1" x14ac:dyDescent="0.2">
      <c r="A2484" s="10"/>
      <c r="B2484" s="11" t="s">
        <v>94</v>
      </c>
      <c r="C2484" s="21"/>
      <c r="D2484" s="21"/>
      <c r="E2484" s="17">
        <f>E2450+E2463+E2471+E2483</f>
        <v>10529427.740684398</v>
      </c>
      <c r="F2484" s="25">
        <f>E2437*29.04*12</f>
        <v>10529427.743999999</v>
      </c>
    </row>
    <row r="2485" spans="1:6" ht="15" customHeight="1" x14ac:dyDescent="0.25">
      <c r="A2485" s="10"/>
      <c r="B2485" s="11" t="s">
        <v>199</v>
      </c>
      <c r="C2485" s="21"/>
      <c r="D2485" s="21"/>
      <c r="E2485" s="22">
        <v>29.04</v>
      </c>
    </row>
    <row r="2486" spans="1:6" ht="10.95" customHeight="1" x14ac:dyDescent="0.2"/>
    <row r="2487" spans="1:6" ht="10.95" customHeight="1" x14ac:dyDescent="0.2"/>
    <row r="2488" spans="1:6" ht="10.95" customHeight="1" x14ac:dyDescent="0.2"/>
    <row r="2489" spans="1:6" ht="15" customHeight="1" x14ac:dyDescent="0.25">
      <c r="B2489" s="12" t="s">
        <v>96</v>
      </c>
    </row>
    <row r="2490" spans="1:6" ht="12" customHeight="1" x14ac:dyDescent="0.2"/>
    <row r="2491" spans="1:6" ht="13.2" customHeight="1" x14ac:dyDescent="0.25">
      <c r="B2491" s="3" t="s">
        <v>97</v>
      </c>
    </row>
    <row r="2492" spans="1:6" ht="7.95" customHeight="1" x14ac:dyDescent="0.2"/>
    <row r="2493" spans="1:6" ht="12" customHeight="1" x14ac:dyDescent="0.25">
      <c r="B2493" s="41" t="s">
        <v>100</v>
      </c>
      <c r="C2493" s="41"/>
      <c r="D2493" s="41"/>
      <c r="E2493" s="41"/>
    </row>
    <row r="2494" spans="1:6" ht="10.95" customHeight="1" x14ac:dyDescent="0.2"/>
    <row r="2495" spans="1:6" ht="10.95" customHeight="1" x14ac:dyDescent="0.2"/>
    <row r="2496" spans="1:6" ht="10.95" customHeight="1" x14ac:dyDescent="0.2"/>
    <row r="2497" spans="1:5" ht="16.2" customHeight="1" x14ac:dyDescent="0.2">
      <c r="A2497" s="39" t="s">
        <v>0</v>
      </c>
      <c r="B2497" s="39"/>
      <c r="C2497" s="39"/>
      <c r="D2497" s="39"/>
      <c r="E2497" s="39"/>
    </row>
    <row r="2498" spans="1:5" ht="10.95" customHeight="1" x14ac:dyDescent="0.2">
      <c r="A2498" s="40" t="s">
        <v>1</v>
      </c>
      <c r="B2498" s="40"/>
      <c r="C2498" s="40"/>
      <c r="D2498" s="40"/>
      <c r="E2498" s="40"/>
    </row>
    <row r="2499" spans="1:5" ht="13.2" customHeight="1" x14ac:dyDescent="0.2">
      <c r="A2499" s="40" t="s">
        <v>198</v>
      </c>
      <c r="B2499" s="40"/>
      <c r="C2499" s="40"/>
      <c r="D2499" s="40"/>
      <c r="E2499" s="40"/>
    </row>
    <row r="2500" spans="1:5" ht="10.95" customHeight="1" x14ac:dyDescent="0.2"/>
    <row r="2501" spans="1:5" ht="10.95" customHeight="1" x14ac:dyDescent="0.2">
      <c r="C2501" s="42" t="s">
        <v>3</v>
      </c>
      <c r="D2501" s="42"/>
      <c r="E2501" s="42"/>
    </row>
    <row r="2502" spans="1:5" ht="12" customHeight="1" x14ac:dyDescent="0.2">
      <c r="D2502" s="26" t="s">
        <v>4</v>
      </c>
      <c r="E2502" s="24">
        <v>12674.5</v>
      </c>
    </row>
    <row r="2503" spans="1:5" ht="12" customHeight="1" x14ac:dyDescent="0.2">
      <c r="D2503" s="26" t="s">
        <v>5</v>
      </c>
      <c r="E2503" s="23">
        <v>156.30000000000001</v>
      </c>
    </row>
    <row r="2504" spans="1:5" ht="12" customHeight="1" x14ac:dyDescent="0.2">
      <c r="D2504" s="26" t="s">
        <v>6</v>
      </c>
      <c r="E2504" s="30">
        <v>7</v>
      </c>
    </row>
    <row r="2505" spans="1:5" ht="12" customHeight="1" x14ac:dyDescent="0.2">
      <c r="D2505" s="26" t="s">
        <v>7</v>
      </c>
      <c r="E2505" s="30">
        <v>9</v>
      </c>
    </row>
    <row r="2506" spans="1:5" ht="12" customHeight="1" x14ac:dyDescent="0.2">
      <c r="D2506" s="26" t="s">
        <v>8</v>
      </c>
      <c r="E2506" s="30">
        <v>248</v>
      </c>
    </row>
    <row r="2507" spans="1:5" ht="12" customHeight="1" x14ac:dyDescent="0.2">
      <c r="D2507" s="26" t="s">
        <v>9</v>
      </c>
      <c r="E2507" s="30">
        <v>654</v>
      </c>
    </row>
    <row r="2508" spans="1:5" ht="12" customHeight="1" x14ac:dyDescent="0.2">
      <c r="D2508" s="26" t="s">
        <v>10</v>
      </c>
      <c r="E2508" s="30">
        <v>7</v>
      </c>
    </row>
    <row r="2509" spans="1:5" ht="12" customHeight="1" x14ac:dyDescent="0.2">
      <c r="D2509" s="26" t="s">
        <v>11</v>
      </c>
      <c r="E2509" s="30">
        <v>0</v>
      </c>
    </row>
    <row r="2510" spans="1:5" ht="12" customHeight="1" x14ac:dyDescent="0.2">
      <c r="D2510" s="26" t="s">
        <v>12</v>
      </c>
      <c r="E2510" s="30">
        <v>0</v>
      </c>
    </row>
    <row r="2511" spans="1:5" ht="12" customHeight="1" x14ac:dyDescent="0.2">
      <c r="D2511" s="26" t="s">
        <v>13</v>
      </c>
      <c r="E2511" s="30">
        <v>1374</v>
      </c>
    </row>
    <row r="2512" spans="1:5" ht="12" customHeight="1" x14ac:dyDescent="0.25">
      <c r="A2512" s="2" t="s">
        <v>14</v>
      </c>
      <c r="B2512" s="3" t="s">
        <v>159</v>
      </c>
    </row>
    <row r="2513" spans="1:6" ht="10.95" customHeight="1" x14ac:dyDescent="0.2"/>
    <row r="2514" spans="1:6" ht="45" customHeight="1" x14ac:dyDescent="0.2">
      <c r="A2514" s="4" t="s">
        <v>15</v>
      </c>
      <c r="B2514" s="4" t="s">
        <v>131</v>
      </c>
      <c r="C2514" s="27" t="s">
        <v>17</v>
      </c>
      <c r="D2514" s="27" t="s">
        <v>103</v>
      </c>
      <c r="E2514" s="27" t="s">
        <v>19</v>
      </c>
    </row>
    <row r="2515" spans="1:6" ht="31.5" customHeight="1" x14ac:dyDescent="0.2">
      <c r="A2515" s="5">
        <v>1</v>
      </c>
      <c r="B2515" s="6" t="s">
        <v>190</v>
      </c>
      <c r="C2515" s="16"/>
      <c r="D2515" s="16"/>
      <c r="E2515" s="17">
        <f>E2516+E2523</f>
        <v>2449807.1659999997</v>
      </c>
    </row>
    <row r="2516" spans="1:6" ht="15" customHeight="1" x14ac:dyDescent="0.2">
      <c r="A2516" s="7" t="s">
        <v>21</v>
      </c>
      <c r="B2516" s="6" t="s">
        <v>132</v>
      </c>
      <c r="C2516" s="16"/>
      <c r="D2516" s="16"/>
      <c r="E2516" s="17">
        <f>SUM(E2517:E2522)</f>
        <v>979511.78999999992</v>
      </c>
    </row>
    <row r="2517" spans="1:6" ht="11.25" customHeight="1" x14ac:dyDescent="0.2">
      <c r="A2517" s="15" t="s">
        <v>23</v>
      </c>
      <c r="B2517" s="9" t="s">
        <v>34</v>
      </c>
      <c r="C2517" s="16">
        <v>1.57</v>
      </c>
      <c r="D2517" s="16">
        <v>18781</v>
      </c>
      <c r="E2517" s="19">
        <f>ROUND(C2517*D2517,2)*12</f>
        <v>353834.04</v>
      </c>
      <c r="F2517" s="20"/>
    </row>
    <row r="2518" spans="1:6" ht="11.25" customHeight="1" x14ac:dyDescent="0.2">
      <c r="A2518" s="8" t="s">
        <v>31</v>
      </c>
      <c r="B2518" s="9" t="s">
        <v>36</v>
      </c>
      <c r="C2518" s="16">
        <v>1.53</v>
      </c>
      <c r="D2518" s="16">
        <v>18781</v>
      </c>
      <c r="E2518" s="19">
        <f>ROUND(C2518*D2518,2)*12</f>
        <v>344819.16000000003</v>
      </c>
    </row>
    <row r="2519" spans="1:6" ht="11.25" customHeight="1" x14ac:dyDescent="0.2">
      <c r="A2519" s="8" t="s">
        <v>121</v>
      </c>
      <c r="B2519" s="9" t="s">
        <v>38</v>
      </c>
      <c r="C2519" s="16">
        <v>30.2</v>
      </c>
      <c r="D2519" s="16">
        <f>E2517</f>
        <v>353834.04</v>
      </c>
      <c r="E2519" s="19">
        <f>ROUND(C2519*D2519/100,2)</f>
        <v>106857.88</v>
      </c>
    </row>
    <row r="2520" spans="1:6" ht="11.25" customHeight="1" x14ac:dyDescent="0.2">
      <c r="A2520" s="8" t="s">
        <v>186</v>
      </c>
      <c r="B2520" s="9" t="s">
        <v>40</v>
      </c>
      <c r="C2520" s="16">
        <v>30.2</v>
      </c>
      <c r="D2520" s="16">
        <f>E2518</f>
        <v>344819.16000000003</v>
      </c>
      <c r="E2520" s="19">
        <f>ROUND(C2520*D2520/100,2)</f>
        <v>104135.39</v>
      </c>
    </row>
    <row r="2521" spans="1:6" ht="11.25" customHeight="1" x14ac:dyDescent="0.2">
      <c r="A2521" s="8" t="s">
        <v>187</v>
      </c>
      <c r="B2521" s="9" t="s">
        <v>42</v>
      </c>
      <c r="C2521" s="16"/>
      <c r="D2521" s="16"/>
      <c r="E2521" s="19">
        <f>E2517*0.1</f>
        <v>35383.404000000002</v>
      </c>
    </row>
    <row r="2522" spans="1:6" ht="11.25" customHeight="1" x14ac:dyDescent="0.2">
      <c r="A2522" s="8" t="s">
        <v>188</v>
      </c>
      <c r="B2522" s="9" t="s">
        <v>44</v>
      </c>
      <c r="C2522" s="16"/>
      <c r="D2522" s="16"/>
      <c r="E2522" s="19">
        <f>E2518*0.1</f>
        <v>34481.916000000005</v>
      </c>
    </row>
    <row r="2523" spans="1:6" ht="15" customHeight="1" x14ac:dyDescent="0.2">
      <c r="A2523" s="7" t="s">
        <v>45</v>
      </c>
      <c r="B2523" s="6" t="s">
        <v>189</v>
      </c>
      <c r="C2523" s="16"/>
      <c r="D2523" s="16"/>
      <c r="E2523" s="17">
        <f>E2524+E2525+E2526+E2527</f>
        <v>1470295.3759999997</v>
      </c>
    </row>
    <row r="2524" spans="1:6" ht="11.25" customHeight="1" x14ac:dyDescent="0.2">
      <c r="A2524" s="8" t="s">
        <v>47</v>
      </c>
      <c r="B2524" s="9" t="s">
        <v>48</v>
      </c>
      <c r="C2524" s="16">
        <v>3.43</v>
      </c>
      <c r="D2524" s="16">
        <v>18781</v>
      </c>
      <c r="E2524" s="19">
        <f>ROUND(C2524*D2524,2)*12</f>
        <v>773025.96</v>
      </c>
      <c r="F2524" s="20"/>
    </row>
    <row r="2525" spans="1:6" ht="11.25" customHeight="1" x14ac:dyDescent="0.2">
      <c r="A2525" s="8" t="s">
        <v>49</v>
      </c>
      <c r="B2525" s="9" t="s">
        <v>50</v>
      </c>
      <c r="C2525" s="16">
        <v>30.2</v>
      </c>
      <c r="D2525" s="16">
        <f>E2524</f>
        <v>773025.96</v>
      </c>
      <c r="E2525" s="19">
        <f>ROUND(C2525*D2525/100,2)</f>
        <v>233453.84</v>
      </c>
    </row>
    <row r="2526" spans="1:6" ht="11.25" customHeight="1" x14ac:dyDescent="0.2">
      <c r="A2526" s="8" t="s">
        <v>51</v>
      </c>
      <c r="B2526" s="9" t="s">
        <v>52</v>
      </c>
      <c r="C2526" s="16"/>
      <c r="D2526" s="16"/>
      <c r="E2526" s="19">
        <f>E2524*0.5</f>
        <v>386512.98</v>
      </c>
    </row>
    <row r="2527" spans="1:6" ht="11.25" customHeight="1" x14ac:dyDescent="0.2">
      <c r="A2527" s="8" t="s">
        <v>53</v>
      </c>
      <c r="B2527" s="9" t="s">
        <v>54</v>
      </c>
      <c r="C2527" s="16"/>
      <c r="D2527" s="16"/>
      <c r="E2527" s="19">
        <f>E2524*0.1</f>
        <v>77302.596000000005</v>
      </c>
    </row>
    <row r="2528" spans="1:6" ht="20.100000000000001" customHeight="1" x14ac:dyDescent="0.2">
      <c r="A2528" s="5">
        <v>2</v>
      </c>
      <c r="B2528" s="6" t="s">
        <v>57</v>
      </c>
      <c r="C2528" s="16"/>
      <c r="D2528" s="16"/>
      <c r="E2528" s="17">
        <f>E2529+E2531+E2532+E2533+E2534+E2535+E2530</f>
        <v>958749.09000000008</v>
      </c>
    </row>
    <row r="2529" spans="1:6" ht="11.25" customHeight="1" x14ac:dyDescent="0.2">
      <c r="A2529" s="35" t="s">
        <v>58</v>
      </c>
      <c r="B2529" s="9" t="s">
        <v>204</v>
      </c>
      <c r="C2529" s="16">
        <v>948.3</v>
      </c>
      <c r="D2529" s="16">
        <f>E2529/C2529</f>
        <v>177.96999894548142</v>
      </c>
      <c r="E2529" s="19">
        <v>168768.95</v>
      </c>
    </row>
    <row r="2530" spans="1:6" ht="11.25" customHeight="1" x14ac:dyDescent="0.2">
      <c r="A2530" s="35" t="s">
        <v>60</v>
      </c>
      <c r="B2530" s="9" t="s">
        <v>195</v>
      </c>
      <c r="C2530" s="16">
        <v>948.3</v>
      </c>
      <c r="D2530" s="16">
        <f>E2530/C2530</f>
        <v>219.63343878519458</v>
      </c>
      <c r="E2530" s="19">
        <v>208278.39</v>
      </c>
    </row>
    <row r="2531" spans="1:6" ht="11.25" customHeight="1" x14ac:dyDescent="0.2">
      <c r="A2531" s="35" t="s">
        <v>62</v>
      </c>
      <c r="B2531" s="9" t="s">
        <v>196</v>
      </c>
      <c r="C2531" s="16">
        <v>300.83999999999997</v>
      </c>
      <c r="D2531" s="16">
        <f>E2531/C2531</f>
        <v>848.40124318574669</v>
      </c>
      <c r="E2531" s="19">
        <v>255233.03</v>
      </c>
    </row>
    <row r="2532" spans="1:6" ht="11.25" customHeight="1" x14ac:dyDescent="0.2">
      <c r="A2532" s="35" t="s">
        <v>64</v>
      </c>
      <c r="B2532" s="9" t="s">
        <v>63</v>
      </c>
      <c r="C2532" s="16">
        <f>E2532/D2532</f>
        <v>31580.767824497263</v>
      </c>
      <c r="D2532" s="16">
        <v>5.47</v>
      </c>
      <c r="E2532" s="19">
        <f>164100+19311.98-10665.18</f>
        <v>172746.80000000002</v>
      </c>
      <c r="F2532" s="20"/>
    </row>
    <row r="2533" spans="1:6" ht="11.25" customHeight="1" x14ac:dyDescent="0.2">
      <c r="A2533" s="35" t="s">
        <v>66</v>
      </c>
      <c r="B2533" s="9" t="s">
        <v>65</v>
      </c>
      <c r="C2533" s="16">
        <f>E2533/D2533</f>
        <v>1705.4110996916752</v>
      </c>
      <c r="D2533" s="16">
        <v>68.11</v>
      </c>
      <c r="E2533" s="19">
        <v>116155.55</v>
      </c>
    </row>
    <row r="2534" spans="1:6" ht="11.25" customHeight="1" x14ac:dyDescent="0.2">
      <c r="A2534" s="35" t="s">
        <v>68</v>
      </c>
      <c r="B2534" s="9" t="s">
        <v>69</v>
      </c>
      <c r="C2534" s="16">
        <v>1913.5</v>
      </c>
      <c r="D2534" s="16">
        <f>E2534/C2534</f>
        <v>3.3499973869871962</v>
      </c>
      <c r="E2534" s="19">
        <v>6410.22</v>
      </c>
    </row>
    <row r="2535" spans="1:6" ht="11.25" customHeight="1" x14ac:dyDescent="0.2">
      <c r="A2535" s="35" t="s">
        <v>70</v>
      </c>
      <c r="B2535" s="9" t="s">
        <v>71</v>
      </c>
      <c r="C2535" s="16">
        <v>165.69</v>
      </c>
      <c r="D2535" s="16">
        <f>E2535/C2535</f>
        <v>188.03880741143101</v>
      </c>
      <c r="E2535" s="19">
        <v>31156.15</v>
      </c>
    </row>
    <row r="2536" spans="1:6" ht="20.100000000000001" customHeight="1" x14ac:dyDescent="0.2">
      <c r="A2536" s="5">
        <v>3</v>
      </c>
      <c r="B2536" s="6" t="s">
        <v>72</v>
      </c>
      <c r="C2536" s="16"/>
      <c r="D2536" s="16"/>
      <c r="E2536" s="17">
        <f>E2537+E2538+E2539+E2540+E2541+E2542+E2543+E2544+E2545+E2547+E2546</f>
        <v>606725.34570099949</v>
      </c>
    </row>
    <row r="2537" spans="1:6" ht="11.25" customHeight="1" x14ac:dyDescent="0.2">
      <c r="A2537" s="8" t="s">
        <v>73</v>
      </c>
      <c r="B2537" s="9" t="s">
        <v>74</v>
      </c>
      <c r="C2537" s="34">
        <v>7</v>
      </c>
      <c r="D2537" s="16">
        <f>E2537/C2537/12</f>
        <v>4091.9040476190476</v>
      </c>
      <c r="E2537" s="19">
        <v>343719.94</v>
      </c>
    </row>
    <row r="2538" spans="1:6" ht="11.25" customHeight="1" x14ac:dyDescent="0.2">
      <c r="A2538" s="8" t="s">
        <v>75</v>
      </c>
      <c r="B2538" s="9" t="s">
        <v>76</v>
      </c>
      <c r="C2538" s="16"/>
      <c r="D2538" s="16"/>
      <c r="E2538" s="19">
        <v>0</v>
      </c>
    </row>
    <row r="2539" spans="1:6" ht="11.25" customHeight="1" x14ac:dyDescent="0.2">
      <c r="A2539" s="8" t="s">
        <v>77</v>
      </c>
      <c r="B2539" s="9" t="s">
        <v>78</v>
      </c>
      <c r="C2539" s="16"/>
      <c r="D2539" s="16"/>
      <c r="E2539" s="19">
        <v>0</v>
      </c>
    </row>
    <row r="2540" spans="1:6" ht="11.25" customHeight="1" x14ac:dyDescent="0.2">
      <c r="A2540" s="8" t="s">
        <v>79</v>
      </c>
      <c r="B2540" s="9" t="s">
        <v>80</v>
      </c>
      <c r="C2540" s="16">
        <v>12674.5</v>
      </c>
      <c r="D2540" s="16">
        <f>E2540/C2540</f>
        <v>4.201247386484674</v>
      </c>
      <c r="E2540" s="19">
        <v>53248.71</v>
      </c>
    </row>
    <row r="2541" spans="1:6" ht="11.25" customHeight="1" x14ac:dyDescent="0.2">
      <c r="A2541" s="8" t="s">
        <v>81</v>
      </c>
      <c r="B2541" s="9" t="s">
        <v>82</v>
      </c>
      <c r="C2541" s="34">
        <v>496</v>
      </c>
      <c r="D2541" s="16">
        <f>E2541/C2541</f>
        <v>71.782721774193561</v>
      </c>
      <c r="E2541" s="19">
        <v>35604.230000000003</v>
      </c>
    </row>
    <row r="2542" spans="1:6" ht="11.25" customHeight="1" x14ac:dyDescent="0.2">
      <c r="A2542" s="8" t="s">
        <v>83</v>
      </c>
      <c r="B2542" s="9" t="s">
        <v>194</v>
      </c>
      <c r="C2542" s="34">
        <v>248</v>
      </c>
      <c r="D2542" s="16">
        <f>E2542/C2542</f>
        <v>86.3866935483871</v>
      </c>
      <c r="E2542" s="19">
        <v>21423.9</v>
      </c>
    </row>
    <row r="2543" spans="1:6" ht="11.25" customHeight="1" x14ac:dyDescent="0.2">
      <c r="A2543" s="8" t="s">
        <v>85</v>
      </c>
      <c r="B2543" s="9" t="s">
        <v>86</v>
      </c>
      <c r="C2543" s="34"/>
      <c r="D2543" s="16"/>
      <c r="E2543" s="19">
        <v>0</v>
      </c>
    </row>
    <row r="2544" spans="1:6" ht="11.25" customHeight="1" x14ac:dyDescent="0.2">
      <c r="A2544" s="8" t="s">
        <v>87</v>
      </c>
      <c r="B2544" s="9" t="s">
        <v>88</v>
      </c>
      <c r="C2544" s="34">
        <v>248</v>
      </c>
      <c r="D2544" s="16">
        <f>E2544/C2544</f>
        <v>542.84524193548384</v>
      </c>
      <c r="E2544" s="19">
        <v>134625.62</v>
      </c>
    </row>
    <row r="2545" spans="1:6" ht="11.25" customHeight="1" x14ac:dyDescent="0.2">
      <c r="A2545" s="8" t="s">
        <v>89</v>
      </c>
      <c r="B2545" s="9" t="s">
        <v>90</v>
      </c>
      <c r="C2545" s="16"/>
      <c r="D2545" s="16"/>
      <c r="E2545" s="19">
        <v>0</v>
      </c>
    </row>
    <row r="2546" spans="1:6" ht="11.25" customHeight="1" x14ac:dyDescent="0.2">
      <c r="A2546" s="8" t="s">
        <v>91</v>
      </c>
      <c r="B2546" s="9" t="s">
        <v>202</v>
      </c>
      <c r="C2546" s="34">
        <v>7</v>
      </c>
      <c r="D2546" s="16">
        <f>E2546/C2546</f>
        <v>2586.1351001427824</v>
      </c>
      <c r="E2546" s="19">
        <f>1773.04*2*1.2+2826.16*5*1.2*0.81663515754</f>
        <v>18102.945700999477</v>
      </c>
    </row>
    <row r="2547" spans="1:6" ht="11.25" customHeight="1" x14ac:dyDescent="0.2">
      <c r="A2547" s="8" t="s">
        <v>203</v>
      </c>
      <c r="B2547" s="9" t="s">
        <v>92</v>
      </c>
      <c r="C2547" s="16"/>
      <c r="D2547" s="16"/>
      <c r="E2547" s="19">
        <v>0</v>
      </c>
    </row>
    <row r="2548" spans="1:6" ht="15" customHeight="1" x14ac:dyDescent="0.2">
      <c r="A2548" s="5">
        <v>4</v>
      </c>
      <c r="B2548" s="6" t="s">
        <v>193</v>
      </c>
      <c r="C2548" s="16"/>
      <c r="D2548" s="16"/>
      <c r="E2548" s="17">
        <f>F2549/1.1*0.1</f>
        <v>401528.16</v>
      </c>
    </row>
    <row r="2549" spans="1:6" ht="18.75" customHeight="1" x14ac:dyDescent="0.2">
      <c r="A2549" s="10"/>
      <c r="B2549" s="11" t="s">
        <v>94</v>
      </c>
      <c r="C2549" s="21"/>
      <c r="D2549" s="21"/>
      <c r="E2549" s="17">
        <f>E2515+E2528+E2536+E2548</f>
        <v>4416809.7617009999</v>
      </c>
      <c r="F2549" s="25">
        <f>E2502*29.04*12</f>
        <v>4416809.76</v>
      </c>
    </row>
    <row r="2550" spans="1:6" ht="15" customHeight="1" x14ac:dyDescent="0.25">
      <c r="A2550" s="10"/>
      <c r="B2550" s="11" t="s">
        <v>199</v>
      </c>
      <c r="C2550" s="21"/>
      <c r="D2550" s="21"/>
      <c r="E2550" s="22">
        <v>29.04</v>
      </c>
    </row>
    <row r="2551" spans="1:6" ht="10.95" customHeight="1" x14ac:dyDescent="0.2"/>
    <row r="2552" spans="1:6" ht="10.95" customHeight="1" x14ac:dyDescent="0.2"/>
    <row r="2553" spans="1:6" ht="10.95" customHeight="1" x14ac:dyDescent="0.2"/>
    <row r="2554" spans="1:6" ht="15" customHeight="1" x14ac:dyDescent="0.25">
      <c r="B2554" s="12" t="s">
        <v>96</v>
      </c>
    </row>
    <row r="2555" spans="1:6" ht="12" customHeight="1" x14ac:dyDescent="0.2"/>
    <row r="2556" spans="1:6" ht="13.2" customHeight="1" x14ac:dyDescent="0.25">
      <c r="B2556" s="3" t="s">
        <v>97</v>
      </c>
    </row>
    <row r="2557" spans="1:6" ht="7.95" customHeight="1" x14ac:dyDescent="0.2"/>
    <row r="2558" spans="1:6" ht="12" customHeight="1" x14ac:dyDescent="0.25">
      <c r="B2558" s="41" t="s">
        <v>100</v>
      </c>
      <c r="C2558" s="41"/>
      <c r="D2558" s="41"/>
      <c r="E2558" s="41"/>
    </row>
    <row r="2559" spans="1:6" ht="10.95" customHeight="1" x14ac:dyDescent="0.2"/>
    <row r="2560" spans="1:6" ht="10.95" customHeight="1" x14ac:dyDescent="0.2"/>
    <row r="2561" spans="1:5" ht="10.95" customHeight="1" x14ac:dyDescent="0.2"/>
    <row r="2562" spans="1:5" ht="16.2" customHeight="1" x14ac:dyDescent="0.2">
      <c r="A2562" s="39" t="s">
        <v>0</v>
      </c>
      <c r="B2562" s="39"/>
      <c r="C2562" s="39"/>
      <c r="D2562" s="39"/>
      <c r="E2562" s="39"/>
    </row>
    <row r="2563" spans="1:5" ht="10.95" customHeight="1" x14ac:dyDescent="0.2">
      <c r="A2563" s="40" t="s">
        <v>1</v>
      </c>
      <c r="B2563" s="40"/>
      <c r="C2563" s="40"/>
      <c r="D2563" s="40"/>
      <c r="E2563" s="40"/>
    </row>
    <row r="2564" spans="1:5" ht="13.2" customHeight="1" x14ac:dyDescent="0.2">
      <c r="A2564" s="40" t="s">
        <v>198</v>
      </c>
      <c r="B2564" s="40"/>
      <c r="C2564" s="40"/>
      <c r="D2564" s="40"/>
      <c r="E2564" s="40"/>
    </row>
    <row r="2565" spans="1:5" ht="10.95" customHeight="1" x14ac:dyDescent="0.2"/>
    <row r="2566" spans="1:5" ht="10.95" customHeight="1" x14ac:dyDescent="0.2">
      <c r="C2566" s="42" t="s">
        <v>3</v>
      </c>
      <c r="D2566" s="42"/>
      <c r="E2566" s="42"/>
    </row>
    <row r="2567" spans="1:5" ht="12" customHeight="1" x14ac:dyDescent="0.2">
      <c r="D2567" s="26" t="s">
        <v>4</v>
      </c>
      <c r="E2567" s="24">
        <v>4073.6</v>
      </c>
    </row>
    <row r="2568" spans="1:5" ht="12" customHeight="1" x14ac:dyDescent="0.2">
      <c r="D2568" s="26" t="s">
        <v>5</v>
      </c>
      <c r="E2568" s="23">
        <v>757.6</v>
      </c>
    </row>
    <row r="2569" spans="1:5" ht="12" customHeight="1" x14ac:dyDescent="0.2">
      <c r="D2569" s="26" t="s">
        <v>6</v>
      </c>
      <c r="E2569" s="30">
        <v>1</v>
      </c>
    </row>
    <row r="2570" spans="1:5" ht="12" customHeight="1" x14ac:dyDescent="0.2">
      <c r="D2570" s="26" t="s">
        <v>7</v>
      </c>
      <c r="E2570" s="30">
        <v>14</v>
      </c>
    </row>
    <row r="2571" spans="1:5" ht="12" customHeight="1" x14ac:dyDescent="0.2">
      <c r="D2571" s="26" t="s">
        <v>8</v>
      </c>
      <c r="E2571" s="30">
        <v>95</v>
      </c>
    </row>
    <row r="2572" spans="1:5" ht="12" customHeight="1" x14ac:dyDescent="0.2">
      <c r="D2572" s="26" t="s">
        <v>9</v>
      </c>
      <c r="E2572" s="30">
        <v>196</v>
      </c>
    </row>
    <row r="2573" spans="1:5" ht="12" customHeight="1" x14ac:dyDescent="0.2">
      <c r="D2573" s="26" t="s">
        <v>10</v>
      </c>
      <c r="E2573" s="30">
        <v>2</v>
      </c>
    </row>
    <row r="2574" spans="1:5" ht="12" customHeight="1" x14ac:dyDescent="0.2">
      <c r="D2574" s="26" t="s">
        <v>11</v>
      </c>
      <c r="E2574" s="30">
        <v>1</v>
      </c>
    </row>
    <row r="2575" spans="1:5" ht="12" customHeight="1" x14ac:dyDescent="0.2">
      <c r="D2575" s="26" t="s">
        <v>12</v>
      </c>
      <c r="E2575" s="30">
        <v>0</v>
      </c>
    </row>
    <row r="2576" spans="1:5" ht="12" customHeight="1" x14ac:dyDescent="0.2">
      <c r="D2576" s="26" t="s">
        <v>13</v>
      </c>
      <c r="E2576" s="30">
        <v>578</v>
      </c>
    </row>
    <row r="2577" spans="1:6" ht="12" customHeight="1" x14ac:dyDescent="0.25">
      <c r="A2577" s="2" t="s">
        <v>14</v>
      </c>
      <c r="B2577" s="3" t="s">
        <v>160</v>
      </c>
    </row>
    <row r="2578" spans="1:6" ht="10.95" customHeight="1" x14ac:dyDescent="0.2"/>
    <row r="2579" spans="1:6" ht="45" customHeight="1" x14ac:dyDescent="0.2">
      <c r="A2579" s="4" t="s">
        <v>15</v>
      </c>
      <c r="B2579" s="4" t="s">
        <v>131</v>
      </c>
      <c r="C2579" s="27" t="s">
        <v>17</v>
      </c>
      <c r="D2579" s="27" t="s">
        <v>103</v>
      </c>
      <c r="E2579" s="27" t="s">
        <v>19</v>
      </c>
    </row>
    <row r="2580" spans="1:6" ht="31.5" customHeight="1" x14ac:dyDescent="0.2">
      <c r="A2580" s="5">
        <v>1</v>
      </c>
      <c r="B2580" s="6" t="s">
        <v>190</v>
      </c>
      <c r="C2580" s="16"/>
      <c r="D2580" s="16"/>
      <c r="E2580" s="17">
        <f>E2581+E2588</f>
        <v>568045.61999999988</v>
      </c>
    </row>
    <row r="2581" spans="1:6" ht="15" customHeight="1" x14ac:dyDescent="0.2">
      <c r="A2581" s="7" t="s">
        <v>21</v>
      </c>
      <c r="B2581" s="6" t="s">
        <v>132</v>
      </c>
      <c r="C2581" s="16"/>
      <c r="D2581" s="16"/>
      <c r="E2581" s="17">
        <f>SUM(E2582:E2587)</f>
        <v>274232.64999999997</v>
      </c>
    </row>
    <row r="2582" spans="1:6" ht="11.25" customHeight="1" x14ac:dyDescent="0.2">
      <c r="A2582" s="15" t="s">
        <v>23</v>
      </c>
      <c r="B2582" s="9" t="s">
        <v>34</v>
      </c>
      <c r="C2582" s="16">
        <v>0.5</v>
      </c>
      <c r="D2582" s="16">
        <v>18781</v>
      </c>
      <c r="E2582" s="19">
        <f>ROUND(C2582*D2582,2)*12</f>
        <v>112686</v>
      </c>
      <c r="F2582" s="20"/>
    </row>
    <row r="2583" spans="1:6" ht="11.25" customHeight="1" x14ac:dyDescent="0.2">
      <c r="A2583" s="8" t="s">
        <v>31</v>
      </c>
      <c r="B2583" s="9" t="s">
        <v>36</v>
      </c>
      <c r="C2583" s="16">
        <v>0.4</v>
      </c>
      <c r="D2583" s="16">
        <v>18781</v>
      </c>
      <c r="E2583" s="19">
        <f>ROUND(C2583*D2583,2)*12</f>
        <v>90148.799999999988</v>
      </c>
    </row>
    <row r="2584" spans="1:6" ht="11.25" customHeight="1" x14ac:dyDescent="0.2">
      <c r="A2584" s="8" t="s">
        <v>121</v>
      </c>
      <c r="B2584" s="9" t="s">
        <v>38</v>
      </c>
      <c r="C2584" s="16">
        <v>30.2</v>
      </c>
      <c r="D2584" s="16">
        <f>E2582</f>
        <v>112686</v>
      </c>
      <c r="E2584" s="19">
        <f>ROUND(C2584*D2584/100,2)</f>
        <v>34031.17</v>
      </c>
    </row>
    <row r="2585" spans="1:6" ht="11.25" customHeight="1" x14ac:dyDescent="0.2">
      <c r="A2585" s="8" t="s">
        <v>186</v>
      </c>
      <c r="B2585" s="9" t="s">
        <v>40</v>
      </c>
      <c r="C2585" s="16">
        <v>30.2</v>
      </c>
      <c r="D2585" s="16">
        <f>E2583</f>
        <v>90148.799999999988</v>
      </c>
      <c r="E2585" s="19">
        <f>ROUND(C2585*D2585/100,2)</f>
        <v>27224.94</v>
      </c>
    </row>
    <row r="2586" spans="1:6" ht="11.25" customHeight="1" x14ac:dyDescent="0.2">
      <c r="A2586" s="8" t="s">
        <v>187</v>
      </c>
      <c r="B2586" s="9" t="s">
        <v>42</v>
      </c>
      <c r="C2586" s="16"/>
      <c r="D2586" s="16"/>
      <c r="E2586" s="19">
        <f>E2582*0.05</f>
        <v>5634.3</v>
      </c>
    </row>
    <row r="2587" spans="1:6" ht="11.25" customHeight="1" x14ac:dyDescent="0.2">
      <c r="A2587" s="8" t="s">
        <v>188</v>
      </c>
      <c r="B2587" s="9" t="s">
        <v>44</v>
      </c>
      <c r="C2587" s="16"/>
      <c r="D2587" s="16"/>
      <c r="E2587" s="19">
        <f>ROUND(E2583*0.05,2)</f>
        <v>4507.4399999999996</v>
      </c>
    </row>
    <row r="2588" spans="1:6" ht="15" customHeight="1" x14ac:dyDescent="0.2">
      <c r="A2588" s="7" t="s">
        <v>45</v>
      </c>
      <c r="B2588" s="6" t="s">
        <v>189</v>
      </c>
      <c r="C2588" s="16"/>
      <c r="D2588" s="16"/>
      <c r="E2588" s="17">
        <f>E2589+E2590+E2591+E2592</f>
        <v>293812.96999999997</v>
      </c>
    </row>
    <row r="2589" spans="1:6" ht="11.25" customHeight="1" x14ac:dyDescent="0.2">
      <c r="A2589" s="8" t="s">
        <v>47</v>
      </c>
      <c r="B2589" s="9" t="s">
        <v>48</v>
      </c>
      <c r="C2589" s="16">
        <v>0.84</v>
      </c>
      <c r="D2589" s="16">
        <v>18781</v>
      </c>
      <c r="E2589" s="19">
        <f>ROUND(C2589*D2589,2)*12</f>
        <v>189312.48</v>
      </c>
      <c r="F2589" s="20"/>
    </row>
    <row r="2590" spans="1:6" ht="11.25" customHeight="1" x14ac:dyDescent="0.2">
      <c r="A2590" s="8" t="s">
        <v>49</v>
      </c>
      <c r="B2590" s="9" t="s">
        <v>50</v>
      </c>
      <c r="C2590" s="16">
        <v>30.2</v>
      </c>
      <c r="D2590" s="16">
        <f>E2589</f>
        <v>189312.48</v>
      </c>
      <c r="E2590" s="19">
        <f>ROUND(C2590*D2590/100,2)</f>
        <v>57172.37</v>
      </c>
    </row>
    <row r="2591" spans="1:6" ht="11.25" customHeight="1" x14ac:dyDescent="0.2">
      <c r="A2591" s="8" t="s">
        <v>51</v>
      </c>
      <c r="B2591" s="9" t="s">
        <v>52</v>
      </c>
      <c r="C2591" s="16"/>
      <c r="D2591" s="16"/>
      <c r="E2591" s="19">
        <f>ROUND(E2589*0.2,2)</f>
        <v>37862.5</v>
      </c>
    </row>
    <row r="2592" spans="1:6" ht="11.25" customHeight="1" x14ac:dyDescent="0.2">
      <c r="A2592" s="8" t="s">
        <v>53</v>
      </c>
      <c r="B2592" s="9" t="s">
        <v>54</v>
      </c>
      <c r="C2592" s="16"/>
      <c r="D2592" s="16"/>
      <c r="E2592" s="19">
        <f>ROUND(E2589*0.05,2)</f>
        <v>9465.6200000000008</v>
      </c>
    </row>
    <row r="2593" spans="1:5" ht="20.100000000000001" customHeight="1" x14ac:dyDescent="0.2">
      <c r="A2593" s="5">
        <v>2</v>
      </c>
      <c r="B2593" s="6" t="s">
        <v>57</v>
      </c>
      <c r="C2593" s="16"/>
      <c r="D2593" s="16"/>
      <c r="E2593" s="17">
        <f>E2594+E2596+E2597+E2598+E2599+E2600+E2595</f>
        <v>507004.02999999997</v>
      </c>
    </row>
    <row r="2594" spans="1:5" ht="11.25" customHeight="1" x14ac:dyDescent="0.2">
      <c r="A2594" s="35" t="s">
        <v>58</v>
      </c>
      <c r="B2594" s="9" t="s">
        <v>204</v>
      </c>
      <c r="C2594" s="16">
        <v>284.2</v>
      </c>
      <c r="D2594" s="16">
        <f>E2594/C2594</f>
        <v>177.96998592540464</v>
      </c>
      <c r="E2594" s="19">
        <v>50579.07</v>
      </c>
    </row>
    <row r="2595" spans="1:5" ht="11.25" customHeight="1" x14ac:dyDescent="0.2">
      <c r="A2595" s="35" t="s">
        <v>60</v>
      </c>
      <c r="B2595" s="9" t="s">
        <v>195</v>
      </c>
      <c r="C2595" s="16">
        <v>284.2</v>
      </c>
      <c r="D2595" s="16">
        <f>E2595/C2595</f>
        <v>219.63342716396903</v>
      </c>
      <c r="E2595" s="19">
        <v>62419.82</v>
      </c>
    </row>
    <row r="2596" spans="1:5" ht="11.25" customHeight="1" x14ac:dyDescent="0.2">
      <c r="A2596" s="35" t="s">
        <v>62</v>
      </c>
      <c r="B2596" s="9" t="s">
        <v>196</v>
      </c>
      <c r="C2596" s="16">
        <v>90.16</v>
      </c>
      <c r="D2596" s="16">
        <f>E2596/C2596</f>
        <v>848.40128660159723</v>
      </c>
      <c r="E2596" s="19">
        <v>76491.86</v>
      </c>
    </row>
    <row r="2597" spans="1:5" ht="11.25" customHeight="1" x14ac:dyDescent="0.2">
      <c r="A2597" s="35" t="s">
        <v>64</v>
      </c>
      <c r="B2597" s="9" t="s">
        <v>63</v>
      </c>
      <c r="C2597" s="16">
        <f>E2597/D2597</f>
        <v>47582.614259597809</v>
      </c>
      <c r="D2597" s="16">
        <v>5.47</v>
      </c>
      <c r="E2597" s="19">
        <f>371960-111683.1</f>
        <v>260276.9</v>
      </c>
    </row>
    <row r="2598" spans="1:5" ht="11.25" customHeight="1" x14ac:dyDescent="0.2">
      <c r="A2598" s="35" t="s">
        <v>66</v>
      </c>
      <c r="B2598" s="9" t="s">
        <v>65</v>
      </c>
      <c r="C2598" s="16">
        <f>E2598/D2598</f>
        <v>716.88562619292327</v>
      </c>
      <c r="D2598" s="16">
        <v>68.11</v>
      </c>
      <c r="E2598" s="19">
        <f>41927.03+6900.05</f>
        <v>48827.08</v>
      </c>
    </row>
    <row r="2599" spans="1:5" ht="11.25" customHeight="1" x14ac:dyDescent="0.2">
      <c r="A2599" s="35" t="s">
        <v>68</v>
      </c>
      <c r="B2599" s="9" t="s">
        <v>69</v>
      </c>
      <c r="C2599" s="16">
        <v>443.5</v>
      </c>
      <c r="D2599" s="16">
        <f>E2599/C2599</f>
        <v>3.3499887260428411</v>
      </c>
      <c r="E2599" s="19">
        <v>1485.72</v>
      </c>
    </row>
    <row r="2600" spans="1:5" ht="11.25" customHeight="1" x14ac:dyDescent="0.2">
      <c r="A2600" s="35" t="s">
        <v>70</v>
      </c>
      <c r="B2600" s="9" t="s">
        <v>71</v>
      </c>
      <c r="C2600" s="16">
        <v>36.82</v>
      </c>
      <c r="D2600" s="16">
        <f>E2600/C2600</f>
        <v>188.03856599674089</v>
      </c>
      <c r="E2600" s="19">
        <v>6923.58</v>
      </c>
    </row>
    <row r="2601" spans="1:5" ht="20.100000000000001" customHeight="1" x14ac:dyDescent="0.2">
      <c r="A2601" s="5">
        <v>3</v>
      </c>
      <c r="B2601" s="6" t="s">
        <v>72</v>
      </c>
      <c r="C2601" s="16"/>
      <c r="D2601" s="16"/>
      <c r="E2601" s="17">
        <f>E2602+E2603+E2604+E2605+E2606+E2607+E2608+E2609+E2610+E2612+E2611</f>
        <v>264165.56988039979</v>
      </c>
    </row>
    <row r="2602" spans="1:5" ht="11.25" customHeight="1" x14ac:dyDescent="0.2">
      <c r="A2602" s="8" t="s">
        <v>73</v>
      </c>
      <c r="B2602" s="9" t="s">
        <v>74</v>
      </c>
      <c r="C2602" s="34">
        <v>2</v>
      </c>
      <c r="D2602" s="16">
        <f>E2602/C2602/12</f>
        <v>5118.84</v>
      </c>
      <c r="E2602" s="19">
        <v>122852.16</v>
      </c>
    </row>
    <row r="2603" spans="1:5" ht="11.25" customHeight="1" x14ac:dyDescent="0.2">
      <c r="A2603" s="8" t="s">
        <v>75</v>
      </c>
      <c r="B2603" s="9" t="s">
        <v>76</v>
      </c>
      <c r="C2603" s="34"/>
      <c r="D2603" s="16"/>
      <c r="E2603" s="19">
        <v>0</v>
      </c>
    </row>
    <row r="2604" spans="1:5" ht="11.25" customHeight="1" x14ac:dyDescent="0.2">
      <c r="A2604" s="8" t="s">
        <v>77</v>
      </c>
      <c r="B2604" s="9" t="s">
        <v>78</v>
      </c>
      <c r="C2604" s="34">
        <v>1</v>
      </c>
      <c r="D2604" s="16">
        <f>69242.82/12</f>
        <v>5770.2350000000006</v>
      </c>
      <c r="E2604" s="19">
        <v>52149.03</v>
      </c>
    </row>
    <row r="2605" spans="1:5" ht="11.25" customHeight="1" x14ac:dyDescent="0.2">
      <c r="A2605" s="8" t="s">
        <v>79</v>
      </c>
      <c r="B2605" s="9" t="s">
        <v>80</v>
      </c>
      <c r="C2605" s="16">
        <v>4073.6</v>
      </c>
      <c r="D2605" s="16">
        <f>E2605/C2605</f>
        <v>4.9218921838177536</v>
      </c>
      <c r="E2605" s="19">
        <v>20049.82</v>
      </c>
    </row>
    <row r="2606" spans="1:5" ht="11.25" customHeight="1" x14ac:dyDescent="0.2">
      <c r="A2606" s="8" t="s">
        <v>81</v>
      </c>
      <c r="B2606" s="9" t="s">
        <v>82</v>
      </c>
      <c r="C2606" s="34">
        <v>190</v>
      </c>
      <c r="D2606" s="16">
        <f>E2606/C2606</f>
        <v>68.427105263157898</v>
      </c>
      <c r="E2606" s="19">
        <v>13001.15</v>
      </c>
    </row>
    <row r="2607" spans="1:5" ht="11.25" customHeight="1" x14ac:dyDescent="0.2">
      <c r="A2607" s="8" t="s">
        <v>83</v>
      </c>
      <c r="B2607" s="9" t="s">
        <v>194</v>
      </c>
      <c r="C2607" s="34">
        <v>95</v>
      </c>
      <c r="D2607" s="16">
        <f>E2607/C2607</f>
        <v>87.325684210526319</v>
      </c>
      <c r="E2607" s="19">
        <v>8295.94</v>
      </c>
    </row>
    <row r="2608" spans="1:5" ht="11.25" customHeight="1" x14ac:dyDescent="0.2">
      <c r="A2608" s="8" t="s">
        <v>85</v>
      </c>
      <c r="B2608" s="9" t="s">
        <v>86</v>
      </c>
      <c r="C2608" s="34"/>
      <c r="D2608" s="16"/>
      <c r="E2608" s="19">
        <v>0</v>
      </c>
    </row>
    <row r="2609" spans="1:6" ht="11.25" customHeight="1" x14ac:dyDescent="0.2">
      <c r="A2609" s="8" t="s">
        <v>87</v>
      </c>
      <c r="B2609" s="9" t="s">
        <v>88</v>
      </c>
      <c r="C2609" s="34">
        <v>95</v>
      </c>
      <c r="D2609" s="16">
        <f>E2609/C2609</f>
        <v>445.03589473684212</v>
      </c>
      <c r="E2609" s="19">
        <v>42278.41</v>
      </c>
    </row>
    <row r="2610" spans="1:6" ht="11.25" customHeight="1" x14ac:dyDescent="0.2">
      <c r="A2610" s="8" t="s">
        <v>89</v>
      </c>
      <c r="B2610" s="9" t="s">
        <v>90</v>
      </c>
      <c r="C2610" s="16"/>
      <c r="D2610" s="16"/>
      <c r="E2610" s="19">
        <v>0</v>
      </c>
    </row>
    <row r="2611" spans="1:6" ht="11.25" customHeight="1" x14ac:dyDescent="0.2">
      <c r="A2611" s="8" t="s">
        <v>91</v>
      </c>
      <c r="B2611" s="9" t="s">
        <v>202</v>
      </c>
      <c r="C2611" s="34">
        <v>2</v>
      </c>
      <c r="D2611" s="16">
        <f>E2611/C2611</f>
        <v>2769.5299401998955</v>
      </c>
      <c r="E2611" s="19">
        <f>2826.16*2*1.2*0.81663515754</f>
        <v>5539.0598803997909</v>
      </c>
    </row>
    <row r="2612" spans="1:6" ht="11.25" customHeight="1" x14ac:dyDescent="0.2">
      <c r="A2612" s="8" t="s">
        <v>203</v>
      </c>
      <c r="B2612" s="9" t="s">
        <v>92</v>
      </c>
      <c r="C2612" s="16"/>
      <c r="D2612" s="16"/>
      <c r="E2612" s="19">
        <v>0</v>
      </c>
    </row>
    <row r="2613" spans="1:6" ht="15" customHeight="1" x14ac:dyDescent="0.2">
      <c r="A2613" s="5">
        <v>4</v>
      </c>
      <c r="B2613" s="6" t="s">
        <v>193</v>
      </c>
      <c r="C2613" s="16"/>
      <c r="D2613" s="16"/>
      <c r="E2613" s="17">
        <f>ROUND(F2614/1.06*0.06,2)</f>
        <v>80352.91</v>
      </c>
    </row>
    <row r="2614" spans="1:6" ht="18.75" customHeight="1" x14ac:dyDescent="0.2">
      <c r="A2614" s="10"/>
      <c r="B2614" s="11" t="s">
        <v>94</v>
      </c>
      <c r="C2614" s="21"/>
      <c r="D2614" s="21"/>
      <c r="E2614" s="17">
        <f>E2580+E2593+E2601+E2613</f>
        <v>1419568.1298803997</v>
      </c>
      <c r="F2614" s="25">
        <f>E2567*29.04*12</f>
        <v>1419568.128</v>
      </c>
    </row>
    <row r="2615" spans="1:6" ht="15" customHeight="1" x14ac:dyDescent="0.25">
      <c r="A2615" s="10"/>
      <c r="B2615" s="11" t="s">
        <v>199</v>
      </c>
      <c r="C2615" s="21"/>
      <c r="D2615" s="21"/>
      <c r="E2615" s="22">
        <v>29.04</v>
      </c>
    </row>
    <row r="2616" spans="1:6" ht="10.95" customHeight="1" x14ac:dyDescent="0.2"/>
    <row r="2617" spans="1:6" ht="10.95" customHeight="1" x14ac:dyDescent="0.2"/>
    <row r="2618" spans="1:6" ht="10.95" customHeight="1" x14ac:dyDescent="0.2"/>
    <row r="2619" spans="1:6" ht="15" customHeight="1" x14ac:dyDescent="0.25">
      <c r="B2619" s="12" t="s">
        <v>96</v>
      </c>
    </row>
    <row r="2620" spans="1:6" ht="12" customHeight="1" x14ac:dyDescent="0.2"/>
    <row r="2621" spans="1:6" ht="13.2" customHeight="1" x14ac:dyDescent="0.25">
      <c r="B2621" s="3" t="s">
        <v>97</v>
      </c>
    </row>
    <row r="2622" spans="1:6" ht="7.95" customHeight="1" x14ac:dyDescent="0.2"/>
    <row r="2623" spans="1:6" ht="12" customHeight="1" x14ac:dyDescent="0.25">
      <c r="B2623" s="41" t="s">
        <v>100</v>
      </c>
      <c r="C2623" s="41"/>
      <c r="D2623" s="41"/>
      <c r="E2623" s="41"/>
    </row>
    <row r="2624" spans="1:6" ht="10.95" customHeight="1" x14ac:dyDescent="0.2"/>
    <row r="2625" spans="1:5" ht="10.95" customHeight="1" x14ac:dyDescent="0.2"/>
    <row r="2626" spans="1:5" ht="10.95" customHeight="1" x14ac:dyDescent="0.2"/>
    <row r="2627" spans="1:5" ht="16.2" customHeight="1" x14ac:dyDescent="0.2">
      <c r="A2627" s="39" t="s">
        <v>0</v>
      </c>
      <c r="B2627" s="39"/>
      <c r="C2627" s="39"/>
      <c r="D2627" s="39"/>
      <c r="E2627" s="39"/>
    </row>
    <row r="2628" spans="1:5" ht="10.95" customHeight="1" x14ac:dyDescent="0.2">
      <c r="A2628" s="40" t="s">
        <v>1</v>
      </c>
      <c r="B2628" s="40"/>
      <c r="C2628" s="40"/>
      <c r="D2628" s="40"/>
      <c r="E2628" s="40"/>
    </row>
    <row r="2629" spans="1:5" ht="13.2" customHeight="1" x14ac:dyDescent="0.2">
      <c r="A2629" s="40" t="s">
        <v>198</v>
      </c>
      <c r="B2629" s="40"/>
      <c r="C2629" s="40"/>
      <c r="D2629" s="40"/>
      <c r="E2629" s="40"/>
    </row>
    <row r="2630" spans="1:5" ht="10.95" customHeight="1" x14ac:dyDescent="0.2"/>
    <row r="2631" spans="1:5" ht="10.95" customHeight="1" x14ac:dyDescent="0.2">
      <c r="C2631" s="42" t="s">
        <v>3</v>
      </c>
      <c r="D2631" s="42"/>
      <c r="E2631" s="42"/>
    </row>
    <row r="2632" spans="1:5" ht="12" customHeight="1" x14ac:dyDescent="0.2">
      <c r="D2632" s="26" t="s">
        <v>4</v>
      </c>
      <c r="E2632" s="24">
        <v>14171</v>
      </c>
    </row>
    <row r="2633" spans="1:5" ht="12" customHeight="1" x14ac:dyDescent="0.2">
      <c r="D2633" s="26" t="s">
        <v>5</v>
      </c>
      <c r="E2633" s="23">
        <v>98.6</v>
      </c>
    </row>
    <row r="2634" spans="1:5" ht="12" customHeight="1" x14ac:dyDescent="0.2">
      <c r="D2634" s="26" t="s">
        <v>6</v>
      </c>
      <c r="E2634" s="30">
        <v>8</v>
      </c>
    </row>
    <row r="2635" spans="1:5" ht="12" customHeight="1" x14ac:dyDescent="0.2">
      <c r="D2635" s="26" t="s">
        <v>7</v>
      </c>
      <c r="E2635" s="30">
        <v>9</v>
      </c>
    </row>
    <row r="2636" spans="1:5" ht="12" customHeight="1" x14ac:dyDescent="0.2">
      <c r="D2636" s="26" t="s">
        <v>8</v>
      </c>
      <c r="E2636" s="30">
        <v>286</v>
      </c>
    </row>
    <row r="2637" spans="1:5" ht="12" customHeight="1" x14ac:dyDescent="0.2">
      <c r="D2637" s="26" t="s">
        <v>9</v>
      </c>
      <c r="E2637" s="30">
        <v>662</v>
      </c>
    </row>
    <row r="2638" spans="1:5" ht="12" customHeight="1" x14ac:dyDescent="0.2">
      <c r="D2638" s="26" t="s">
        <v>10</v>
      </c>
      <c r="E2638" s="30">
        <v>8</v>
      </c>
    </row>
    <row r="2639" spans="1:5" ht="12" customHeight="1" x14ac:dyDescent="0.2">
      <c r="D2639" s="26" t="s">
        <v>11</v>
      </c>
      <c r="E2639" s="30">
        <v>0</v>
      </c>
    </row>
    <row r="2640" spans="1:5" ht="12" customHeight="1" x14ac:dyDescent="0.2">
      <c r="D2640" s="26" t="s">
        <v>12</v>
      </c>
      <c r="E2640" s="30">
        <v>0</v>
      </c>
    </row>
    <row r="2641" spans="1:6" ht="12" customHeight="1" x14ac:dyDescent="0.2">
      <c r="D2641" s="26" t="s">
        <v>13</v>
      </c>
      <c r="E2641" s="30">
        <v>1512</v>
      </c>
    </row>
    <row r="2642" spans="1:6" ht="12" customHeight="1" x14ac:dyDescent="0.25">
      <c r="A2642" s="2" t="s">
        <v>14</v>
      </c>
      <c r="B2642" s="3" t="s">
        <v>161</v>
      </c>
    </row>
    <row r="2643" spans="1:6" ht="10.95" customHeight="1" x14ac:dyDescent="0.2"/>
    <row r="2644" spans="1:6" ht="45" customHeight="1" x14ac:dyDescent="0.2">
      <c r="A2644" s="4" t="s">
        <v>15</v>
      </c>
      <c r="B2644" s="4" t="s">
        <v>131</v>
      </c>
      <c r="C2644" s="27" t="s">
        <v>17</v>
      </c>
      <c r="D2644" s="27" t="s">
        <v>103</v>
      </c>
      <c r="E2644" s="27" t="s">
        <v>19</v>
      </c>
    </row>
    <row r="2645" spans="1:6" ht="31.5" customHeight="1" x14ac:dyDescent="0.2">
      <c r="A2645" s="5">
        <v>1</v>
      </c>
      <c r="B2645" s="6" t="s">
        <v>190</v>
      </c>
      <c r="C2645" s="16"/>
      <c r="D2645" s="16"/>
      <c r="E2645" s="17">
        <f>E2646+E2653</f>
        <v>2716724.24</v>
      </c>
    </row>
    <row r="2646" spans="1:6" ht="15" customHeight="1" x14ac:dyDescent="0.2">
      <c r="A2646" s="7" t="s">
        <v>21</v>
      </c>
      <c r="B2646" s="6" t="s">
        <v>132</v>
      </c>
      <c r="C2646" s="16"/>
      <c r="D2646" s="16"/>
      <c r="E2646" s="17">
        <f>SUM(E2647:E2652)</f>
        <v>1036386.666</v>
      </c>
    </row>
    <row r="2647" spans="1:6" ht="11.25" customHeight="1" x14ac:dyDescent="0.2">
      <c r="A2647" s="15" t="s">
        <v>23</v>
      </c>
      <c r="B2647" s="9" t="s">
        <v>34</v>
      </c>
      <c r="C2647" s="16">
        <v>1.73</v>
      </c>
      <c r="D2647" s="16">
        <v>18781</v>
      </c>
      <c r="E2647" s="19">
        <f>ROUND(C2647*D2647,2)*12</f>
        <v>389893.56</v>
      </c>
      <c r="F2647" s="20"/>
    </row>
    <row r="2648" spans="1:6" ht="11.25" customHeight="1" x14ac:dyDescent="0.2">
      <c r="A2648" s="8" t="s">
        <v>31</v>
      </c>
      <c r="B2648" s="9" t="s">
        <v>36</v>
      </c>
      <c r="C2648" s="16">
        <v>1.55</v>
      </c>
      <c r="D2648" s="16">
        <v>18781</v>
      </c>
      <c r="E2648" s="19">
        <f>ROUND(C2648*D2648,2)*12</f>
        <v>349326.6</v>
      </c>
    </row>
    <row r="2649" spans="1:6" ht="11.25" customHeight="1" x14ac:dyDescent="0.2">
      <c r="A2649" s="8" t="s">
        <v>121</v>
      </c>
      <c r="B2649" s="9" t="s">
        <v>38</v>
      </c>
      <c r="C2649" s="16">
        <v>30.2</v>
      </c>
      <c r="D2649" s="16">
        <f>E2647</f>
        <v>389893.56</v>
      </c>
      <c r="E2649" s="19">
        <f>ROUND(C2649*D2649/100,2)</f>
        <v>117747.86</v>
      </c>
    </row>
    <row r="2650" spans="1:6" ht="11.25" customHeight="1" x14ac:dyDescent="0.2">
      <c r="A2650" s="8" t="s">
        <v>186</v>
      </c>
      <c r="B2650" s="9" t="s">
        <v>40</v>
      </c>
      <c r="C2650" s="16">
        <v>30.2</v>
      </c>
      <c r="D2650" s="16">
        <f>E2648</f>
        <v>349326.6</v>
      </c>
      <c r="E2650" s="19">
        <f>ROUND(C2650*D2650/100,2)</f>
        <v>105496.63</v>
      </c>
    </row>
    <row r="2651" spans="1:6" ht="11.25" customHeight="1" x14ac:dyDescent="0.2">
      <c r="A2651" s="8" t="s">
        <v>187</v>
      </c>
      <c r="B2651" s="9" t="s">
        <v>42</v>
      </c>
      <c r="C2651" s="16"/>
      <c r="D2651" s="16"/>
      <c r="E2651" s="19">
        <f>E2647*0.1</f>
        <v>38989.356</v>
      </c>
    </row>
    <row r="2652" spans="1:6" ht="11.25" customHeight="1" x14ac:dyDescent="0.2">
      <c r="A2652" s="8" t="s">
        <v>188</v>
      </c>
      <c r="B2652" s="9" t="s">
        <v>44</v>
      </c>
      <c r="C2652" s="16"/>
      <c r="D2652" s="16"/>
      <c r="E2652" s="19">
        <f>ROUND(E2648*0.1,2)</f>
        <v>34932.660000000003</v>
      </c>
    </row>
    <row r="2653" spans="1:6" ht="15" customHeight="1" x14ac:dyDescent="0.2">
      <c r="A2653" s="7" t="s">
        <v>45</v>
      </c>
      <c r="B2653" s="6" t="s">
        <v>189</v>
      </c>
      <c r="C2653" s="16"/>
      <c r="D2653" s="16"/>
      <c r="E2653" s="17">
        <f>E2654+E2655+E2656+E2657</f>
        <v>1680337.574</v>
      </c>
    </row>
    <row r="2654" spans="1:6" ht="11.25" customHeight="1" x14ac:dyDescent="0.2">
      <c r="A2654" s="8" t="s">
        <v>47</v>
      </c>
      <c r="B2654" s="9" t="s">
        <v>48</v>
      </c>
      <c r="C2654" s="16">
        <v>3.92</v>
      </c>
      <c r="D2654" s="16">
        <v>18781</v>
      </c>
      <c r="E2654" s="19">
        <f>C2654*D2654*12</f>
        <v>883458.24</v>
      </c>
      <c r="F2654" s="20"/>
    </row>
    <row r="2655" spans="1:6" ht="11.25" customHeight="1" x14ac:dyDescent="0.2">
      <c r="A2655" s="8" t="s">
        <v>49</v>
      </c>
      <c r="B2655" s="9" t="s">
        <v>50</v>
      </c>
      <c r="C2655" s="16">
        <v>30.2</v>
      </c>
      <c r="D2655" s="16">
        <f>E2654</f>
        <v>883458.24</v>
      </c>
      <c r="E2655" s="19">
        <f>ROUND(C2655*D2655/100,2)</f>
        <v>266804.39</v>
      </c>
    </row>
    <row r="2656" spans="1:6" ht="11.25" customHeight="1" x14ac:dyDescent="0.2">
      <c r="A2656" s="8" t="s">
        <v>51</v>
      </c>
      <c r="B2656" s="9" t="s">
        <v>52</v>
      </c>
      <c r="C2656" s="16"/>
      <c r="D2656" s="16"/>
      <c r="E2656" s="19">
        <f>E2654*0.5</f>
        <v>441729.12</v>
      </c>
    </row>
    <row r="2657" spans="1:5" ht="11.25" customHeight="1" x14ac:dyDescent="0.2">
      <c r="A2657" s="8" t="s">
        <v>53</v>
      </c>
      <c r="B2657" s="9" t="s">
        <v>54</v>
      </c>
      <c r="C2657" s="16"/>
      <c r="D2657" s="16"/>
      <c r="E2657" s="19">
        <f>E2654*0.1</f>
        <v>88345.824000000008</v>
      </c>
    </row>
    <row r="2658" spans="1:5" ht="20.100000000000001" customHeight="1" x14ac:dyDescent="0.2">
      <c r="A2658" s="5">
        <v>2</v>
      </c>
      <c r="B2658" s="6" t="s">
        <v>57</v>
      </c>
      <c r="C2658" s="16"/>
      <c r="D2658" s="16"/>
      <c r="E2658" s="17">
        <f>E2659+E2661+E2662+E2663+E2664+E2665+E2660</f>
        <v>1083911.1200000001</v>
      </c>
    </row>
    <row r="2659" spans="1:5" ht="11.25" customHeight="1" x14ac:dyDescent="0.2">
      <c r="A2659" s="35" t="s">
        <v>58</v>
      </c>
      <c r="B2659" s="9" t="s">
        <v>204</v>
      </c>
      <c r="C2659" s="16">
        <v>959.9</v>
      </c>
      <c r="D2659" s="16">
        <f>E2659/C2659</f>
        <v>177.96999687467445</v>
      </c>
      <c r="E2659" s="19">
        <v>170833.4</v>
      </c>
    </row>
    <row r="2660" spans="1:5" ht="11.25" customHeight="1" x14ac:dyDescent="0.2">
      <c r="A2660" s="35" t="s">
        <v>60</v>
      </c>
      <c r="B2660" s="9" t="s">
        <v>195</v>
      </c>
      <c r="C2660" s="16">
        <v>959.9</v>
      </c>
      <c r="D2660" s="16">
        <f>E2660/C2660</f>
        <v>219.63343056568394</v>
      </c>
      <c r="E2660" s="19">
        <v>210826.13</v>
      </c>
    </row>
    <row r="2661" spans="1:5" ht="11.25" customHeight="1" x14ac:dyDescent="0.2">
      <c r="A2661" s="35" t="s">
        <v>62</v>
      </c>
      <c r="B2661" s="9" t="s">
        <v>196</v>
      </c>
      <c r="C2661" s="16">
        <v>304.52</v>
      </c>
      <c r="D2661" s="16">
        <f>E2661/C2661</f>
        <v>848.40125443320642</v>
      </c>
      <c r="E2661" s="19">
        <v>258355.15</v>
      </c>
    </row>
    <row r="2662" spans="1:5" ht="11.25" customHeight="1" x14ac:dyDescent="0.2">
      <c r="A2662" s="35" t="s">
        <v>64</v>
      </c>
      <c r="B2662" s="9" t="s">
        <v>63</v>
      </c>
      <c r="C2662" s="16">
        <f>E2662/D2662</f>
        <v>48835.758683729429</v>
      </c>
      <c r="D2662" s="16">
        <v>5.47</v>
      </c>
      <c r="E2662" s="19">
        <f>284440-869.75-16438.65</f>
        <v>267131.59999999998</v>
      </c>
    </row>
    <row r="2663" spans="1:5" ht="11.25" customHeight="1" x14ac:dyDescent="0.2">
      <c r="A2663" s="35" t="s">
        <v>66</v>
      </c>
      <c r="B2663" s="9" t="s">
        <v>65</v>
      </c>
      <c r="C2663" s="16">
        <f>E2663/D2663</f>
        <v>1965.1560710615181</v>
      </c>
      <c r="D2663" s="16">
        <v>68.11</v>
      </c>
      <c r="E2663" s="19">
        <v>133846.78</v>
      </c>
    </row>
    <row r="2664" spans="1:5" ht="11.25" customHeight="1" x14ac:dyDescent="0.2">
      <c r="A2664" s="35" t="s">
        <v>68</v>
      </c>
      <c r="B2664" s="9" t="s">
        <v>69</v>
      </c>
      <c r="C2664" s="16">
        <v>2182.4</v>
      </c>
      <c r="D2664" s="16">
        <f>E2664/C2664</f>
        <v>3.3499999999999996</v>
      </c>
      <c r="E2664" s="19">
        <v>7311.04</v>
      </c>
    </row>
    <row r="2665" spans="1:5" ht="11.25" customHeight="1" x14ac:dyDescent="0.2">
      <c r="A2665" s="35" t="s">
        <v>70</v>
      </c>
      <c r="B2665" s="9" t="s">
        <v>71</v>
      </c>
      <c r="C2665" s="16">
        <v>189.36</v>
      </c>
      <c r="D2665" s="16">
        <f>E2665/C2665</f>
        <v>188.03876214617657</v>
      </c>
      <c r="E2665" s="19">
        <v>35607.019999999997</v>
      </c>
    </row>
    <row r="2666" spans="1:5" ht="20.100000000000001" customHeight="1" x14ac:dyDescent="0.2">
      <c r="A2666" s="5">
        <v>3</v>
      </c>
      <c r="B2666" s="6" t="s">
        <v>72</v>
      </c>
      <c r="C2666" s="16"/>
      <c r="D2666" s="16"/>
      <c r="E2666" s="17">
        <f>E2667+E2668+E2669+E2670+E2671+E2672+E2673+E2674+E2675+E2677+E2676</f>
        <v>688737.4395215991</v>
      </c>
    </row>
    <row r="2667" spans="1:5" ht="11.25" customHeight="1" x14ac:dyDescent="0.2">
      <c r="A2667" s="8" t="s">
        <v>73</v>
      </c>
      <c r="B2667" s="9" t="s">
        <v>74</v>
      </c>
      <c r="C2667" s="34">
        <v>8</v>
      </c>
      <c r="D2667" s="16">
        <f>E2667/C2667/12</f>
        <v>4068</v>
      </c>
      <c r="E2667" s="19">
        <v>390528</v>
      </c>
    </row>
    <row r="2668" spans="1:5" ht="11.25" customHeight="1" x14ac:dyDescent="0.2">
      <c r="A2668" s="8" t="s">
        <v>75</v>
      </c>
      <c r="B2668" s="9" t="s">
        <v>76</v>
      </c>
      <c r="C2668" s="16"/>
      <c r="D2668" s="16"/>
      <c r="E2668" s="19">
        <v>0</v>
      </c>
    </row>
    <row r="2669" spans="1:5" ht="11.25" customHeight="1" x14ac:dyDescent="0.2">
      <c r="A2669" s="8" t="s">
        <v>77</v>
      </c>
      <c r="B2669" s="9" t="s">
        <v>78</v>
      </c>
      <c r="C2669" s="16"/>
      <c r="D2669" s="16"/>
      <c r="E2669" s="19">
        <v>0</v>
      </c>
    </row>
    <row r="2670" spans="1:5" ht="11.25" customHeight="1" x14ac:dyDescent="0.2">
      <c r="A2670" s="8" t="s">
        <v>79</v>
      </c>
      <c r="B2670" s="9" t="s">
        <v>80</v>
      </c>
      <c r="C2670" s="16">
        <v>14171</v>
      </c>
      <c r="D2670" s="16">
        <f>E2670/C2670</f>
        <v>4.1789450285794931</v>
      </c>
      <c r="E2670" s="19">
        <v>59219.83</v>
      </c>
    </row>
    <row r="2671" spans="1:5" ht="11.25" customHeight="1" x14ac:dyDescent="0.2">
      <c r="A2671" s="8" t="s">
        <v>81</v>
      </c>
      <c r="B2671" s="9" t="s">
        <v>82</v>
      </c>
      <c r="C2671" s="34">
        <v>572</v>
      </c>
      <c r="D2671" s="16">
        <f>E2671/C2671</f>
        <v>71.722534965034967</v>
      </c>
      <c r="E2671" s="19">
        <v>41025.29</v>
      </c>
    </row>
    <row r="2672" spans="1:5" ht="11.25" customHeight="1" x14ac:dyDescent="0.2">
      <c r="A2672" s="8" t="s">
        <v>83</v>
      </c>
      <c r="B2672" s="9" t="s">
        <v>194</v>
      </c>
      <c r="C2672" s="34">
        <v>286</v>
      </c>
      <c r="D2672" s="16">
        <f>E2672/C2672</f>
        <v>86.04017482517483</v>
      </c>
      <c r="E2672" s="19">
        <v>24607.49</v>
      </c>
    </row>
    <row r="2673" spans="1:6" ht="11.25" customHeight="1" x14ac:dyDescent="0.2">
      <c r="A2673" s="8" t="s">
        <v>85</v>
      </c>
      <c r="B2673" s="9" t="s">
        <v>86</v>
      </c>
      <c r="C2673" s="34"/>
      <c r="D2673" s="16"/>
      <c r="E2673" s="19">
        <v>0</v>
      </c>
    </row>
    <row r="2674" spans="1:6" ht="11.25" customHeight="1" x14ac:dyDescent="0.2">
      <c r="A2674" s="8" t="s">
        <v>87</v>
      </c>
      <c r="B2674" s="9" t="s">
        <v>88</v>
      </c>
      <c r="C2674" s="34">
        <v>285</v>
      </c>
      <c r="D2674" s="16">
        <f>E2674/C2674</f>
        <v>530.52838596491222</v>
      </c>
      <c r="E2674" s="19">
        <v>151200.59</v>
      </c>
    </row>
    <row r="2675" spans="1:6" ht="11.25" customHeight="1" x14ac:dyDescent="0.2">
      <c r="A2675" s="8" t="s">
        <v>89</v>
      </c>
      <c r="B2675" s="9" t="s">
        <v>90</v>
      </c>
      <c r="C2675" s="16"/>
      <c r="D2675" s="16"/>
      <c r="E2675" s="19">
        <v>0</v>
      </c>
    </row>
    <row r="2676" spans="1:6" ht="11.25" customHeight="1" x14ac:dyDescent="0.2">
      <c r="A2676" s="8" t="s">
        <v>91</v>
      </c>
      <c r="B2676" s="9" t="s">
        <v>202</v>
      </c>
      <c r="C2676" s="34">
        <v>8</v>
      </c>
      <c r="D2676" s="16">
        <f>E2676/C2676</f>
        <v>2769.5299401998955</v>
      </c>
      <c r="E2676" s="19">
        <f>2826.16*8*1.2*0.81663515754</f>
        <v>22156.239521599164</v>
      </c>
    </row>
    <row r="2677" spans="1:6" ht="11.25" customHeight="1" x14ac:dyDescent="0.2">
      <c r="A2677" s="8" t="s">
        <v>203</v>
      </c>
      <c r="B2677" s="9" t="s">
        <v>92</v>
      </c>
      <c r="C2677" s="16"/>
      <c r="D2677" s="16"/>
      <c r="E2677" s="19">
        <v>0</v>
      </c>
    </row>
    <row r="2678" spans="1:6" ht="15" customHeight="1" x14ac:dyDescent="0.2">
      <c r="A2678" s="5">
        <v>4</v>
      </c>
      <c r="B2678" s="6" t="s">
        <v>193</v>
      </c>
      <c r="C2678" s="16"/>
      <c r="D2678" s="16"/>
      <c r="E2678" s="17">
        <f>F2679/1.1*0.1</f>
        <v>448937.28</v>
      </c>
    </row>
    <row r="2679" spans="1:6" ht="18.75" customHeight="1" x14ac:dyDescent="0.2">
      <c r="A2679" s="10"/>
      <c r="B2679" s="11" t="s">
        <v>94</v>
      </c>
      <c r="C2679" s="21"/>
      <c r="D2679" s="21"/>
      <c r="E2679" s="17">
        <f>E2645+E2658+E2666+E2678</f>
        <v>4938310.0795215992</v>
      </c>
      <c r="F2679" s="25">
        <f>E2632*29.04*12</f>
        <v>4938310.08</v>
      </c>
    </row>
    <row r="2680" spans="1:6" ht="15" customHeight="1" x14ac:dyDescent="0.25">
      <c r="A2680" s="10"/>
      <c r="B2680" s="11" t="s">
        <v>199</v>
      </c>
      <c r="C2680" s="21"/>
      <c r="D2680" s="21"/>
      <c r="E2680" s="22">
        <v>29.04</v>
      </c>
    </row>
    <row r="2681" spans="1:6" ht="10.95" customHeight="1" x14ac:dyDescent="0.2"/>
    <row r="2682" spans="1:6" ht="10.95" customHeight="1" x14ac:dyDescent="0.2"/>
    <row r="2683" spans="1:6" ht="10.95" customHeight="1" x14ac:dyDescent="0.2"/>
    <row r="2684" spans="1:6" ht="15" customHeight="1" x14ac:dyDescent="0.25">
      <c r="B2684" s="12" t="s">
        <v>96</v>
      </c>
    </row>
    <row r="2685" spans="1:6" ht="12" customHeight="1" x14ac:dyDescent="0.2"/>
    <row r="2686" spans="1:6" ht="13.2" customHeight="1" x14ac:dyDescent="0.25">
      <c r="B2686" s="3" t="s">
        <v>97</v>
      </c>
    </row>
    <row r="2687" spans="1:6" ht="7.95" customHeight="1" x14ac:dyDescent="0.2"/>
    <row r="2688" spans="1:6" ht="12" customHeight="1" x14ac:dyDescent="0.25">
      <c r="B2688" s="41" t="s">
        <v>100</v>
      </c>
      <c r="C2688" s="41"/>
      <c r="D2688" s="41"/>
      <c r="E2688" s="41"/>
    </row>
    <row r="2689" spans="1:5" ht="10.95" customHeight="1" x14ac:dyDescent="0.2"/>
    <row r="2690" spans="1:5" ht="10.95" customHeight="1" x14ac:dyDescent="0.2"/>
    <row r="2691" spans="1:5" ht="10.95" customHeight="1" x14ac:dyDescent="0.2"/>
    <row r="2692" spans="1:5" ht="16.2" customHeight="1" x14ac:dyDescent="0.2">
      <c r="A2692" s="39" t="s">
        <v>0</v>
      </c>
      <c r="B2692" s="39"/>
      <c r="C2692" s="39"/>
      <c r="D2692" s="39"/>
      <c r="E2692" s="39"/>
    </row>
    <row r="2693" spans="1:5" ht="10.95" customHeight="1" x14ac:dyDescent="0.2">
      <c r="A2693" s="40" t="s">
        <v>1</v>
      </c>
      <c r="B2693" s="40"/>
      <c r="C2693" s="40"/>
      <c r="D2693" s="40"/>
      <c r="E2693" s="40"/>
    </row>
    <row r="2694" spans="1:5" ht="13.2" customHeight="1" x14ac:dyDescent="0.2">
      <c r="A2694" s="40" t="s">
        <v>198</v>
      </c>
      <c r="B2694" s="40"/>
      <c r="C2694" s="40"/>
      <c r="D2694" s="40"/>
      <c r="E2694" s="40"/>
    </row>
    <row r="2695" spans="1:5" ht="10.95" customHeight="1" x14ac:dyDescent="0.2"/>
    <row r="2696" spans="1:5" ht="10.95" customHeight="1" x14ac:dyDescent="0.2">
      <c r="C2696" s="42" t="s">
        <v>3</v>
      </c>
      <c r="D2696" s="42"/>
      <c r="E2696" s="42"/>
    </row>
    <row r="2697" spans="1:5" ht="12" customHeight="1" x14ac:dyDescent="0.2">
      <c r="D2697" s="26" t="s">
        <v>4</v>
      </c>
      <c r="E2697" s="24">
        <v>7066.8</v>
      </c>
    </row>
    <row r="2698" spans="1:5" ht="12" customHeight="1" x14ac:dyDescent="0.2">
      <c r="D2698" s="26" t="s">
        <v>5</v>
      </c>
      <c r="E2698" s="23">
        <v>2.4</v>
      </c>
    </row>
    <row r="2699" spans="1:5" ht="12" customHeight="1" x14ac:dyDescent="0.2">
      <c r="D2699" s="26" t="s">
        <v>6</v>
      </c>
      <c r="E2699" s="30">
        <v>4</v>
      </c>
    </row>
    <row r="2700" spans="1:5" ht="12" customHeight="1" x14ac:dyDescent="0.2">
      <c r="D2700" s="26" t="s">
        <v>7</v>
      </c>
      <c r="E2700" s="30">
        <v>9</v>
      </c>
    </row>
    <row r="2701" spans="1:5" ht="12" customHeight="1" x14ac:dyDescent="0.2">
      <c r="D2701" s="26" t="s">
        <v>8</v>
      </c>
      <c r="E2701" s="30">
        <v>144</v>
      </c>
    </row>
    <row r="2702" spans="1:5" ht="12" customHeight="1" x14ac:dyDescent="0.2">
      <c r="D2702" s="26" t="s">
        <v>9</v>
      </c>
      <c r="E2702" s="30">
        <v>332</v>
      </c>
    </row>
    <row r="2703" spans="1:5" ht="12" customHeight="1" x14ac:dyDescent="0.2">
      <c r="D2703" s="26" t="s">
        <v>10</v>
      </c>
      <c r="E2703" s="30">
        <v>4</v>
      </c>
    </row>
    <row r="2704" spans="1:5" ht="12" customHeight="1" x14ac:dyDescent="0.2">
      <c r="D2704" s="26" t="s">
        <v>11</v>
      </c>
      <c r="E2704" s="30">
        <v>0</v>
      </c>
    </row>
    <row r="2705" spans="1:6" ht="12" customHeight="1" x14ac:dyDescent="0.2">
      <c r="D2705" s="26" t="s">
        <v>12</v>
      </c>
      <c r="E2705" s="30">
        <v>0</v>
      </c>
    </row>
    <row r="2706" spans="1:6" ht="12" customHeight="1" x14ac:dyDescent="0.2">
      <c r="D2706" s="26" t="s">
        <v>13</v>
      </c>
      <c r="E2706" s="30">
        <v>725</v>
      </c>
    </row>
    <row r="2707" spans="1:6" ht="12" customHeight="1" x14ac:dyDescent="0.25">
      <c r="A2707" s="2" t="s">
        <v>14</v>
      </c>
      <c r="B2707" s="3" t="s">
        <v>162</v>
      </c>
    </row>
    <row r="2708" spans="1:6" ht="10.95" customHeight="1" x14ac:dyDescent="0.2"/>
    <row r="2709" spans="1:6" ht="45" customHeight="1" x14ac:dyDescent="0.2">
      <c r="A2709" s="4" t="s">
        <v>15</v>
      </c>
      <c r="B2709" s="4" t="s">
        <v>131</v>
      </c>
      <c r="C2709" s="27" t="s">
        <v>17</v>
      </c>
      <c r="D2709" s="27" t="s">
        <v>103</v>
      </c>
      <c r="E2709" s="27" t="s">
        <v>19</v>
      </c>
    </row>
    <row r="2710" spans="1:6" ht="31.5" customHeight="1" x14ac:dyDescent="0.2">
      <c r="A2710" s="5">
        <v>1</v>
      </c>
      <c r="B2710" s="6" t="s">
        <v>190</v>
      </c>
      <c r="C2710" s="16"/>
      <c r="D2710" s="16"/>
      <c r="E2710" s="17">
        <f>E2711+E2718</f>
        <v>1348882.9800000002</v>
      </c>
    </row>
    <row r="2711" spans="1:6" ht="15" customHeight="1" x14ac:dyDescent="0.2">
      <c r="A2711" s="7" t="s">
        <v>21</v>
      </c>
      <c r="B2711" s="6" t="s">
        <v>132</v>
      </c>
      <c r="C2711" s="16"/>
      <c r="D2711" s="16"/>
      <c r="E2711" s="17">
        <f>SUM(E2712:E2717)</f>
        <v>508714.20000000007</v>
      </c>
    </row>
    <row r="2712" spans="1:6" ht="11.25" customHeight="1" x14ac:dyDescent="0.2">
      <c r="A2712" s="15" t="s">
        <v>23</v>
      </c>
      <c r="B2712" s="9" t="s">
        <v>34</v>
      </c>
      <c r="C2712" s="16">
        <v>0.83</v>
      </c>
      <c r="D2712" s="16">
        <v>18781</v>
      </c>
      <c r="E2712" s="19">
        <f>ROUND(C2712*D2712,2)*12</f>
        <v>187058.76</v>
      </c>
      <c r="F2712" s="20"/>
    </row>
    <row r="2713" spans="1:6" ht="11.25" customHeight="1" x14ac:dyDescent="0.2">
      <c r="A2713" s="8" t="s">
        <v>31</v>
      </c>
      <c r="B2713" s="9" t="s">
        <v>36</v>
      </c>
      <c r="C2713" s="16">
        <v>0.78</v>
      </c>
      <c r="D2713" s="16">
        <v>18781</v>
      </c>
      <c r="E2713" s="19">
        <f>ROUND(C2713*D2713,2)*12</f>
        <v>175790.16</v>
      </c>
    </row>
    <row r="2714" spans="1:6" ht="11.25" customHeight="1" x14ac:dyDescent="0.2">
      <c r="A2714" s="8" t="s">
        <v>121</v>
      </c>
      <c r="B2714" s="9" t="s">
        <v>38</v>
      </c>
      <c r="C2714" s="16">
        <v>30.2</v>
      </c>
      <c r="D2714" s="16">
        <f>E2712</f>
        <v>187058.76</v>
      </c>
      <c r="E2714" s="19">
        <f>ROUND(C2714*D2714/100,2)</f>
        <v>56491.75</v>
      </c>
    </row>
    <row r="2715" spans="1:6" ht="11.25" customHeight="1" x14ac:dyDescent="0.2">
      <c r="A2715" s="8" t="s">
        <v>186</v>
      </c>
      <c r="B2715" s="9" t="s">
        <v>40</v>
      </c>
      <c r="C2715" s="16">
        <v>30.2</v>
      </c>
      <c r="D2715" s="16">
        <f>E2713</f>
        <v>175790.16</v>
      </c>
      <c r="E2715" s="19">
        <f>ROUND(C2715*D2715/100,2)</f>
        <v>53088.63</v>
      </c>
    </row>
    <row r="2716" spans="1:6" ht="11.25" customHeight="1" x14ac:dyDescent="0.2">
      <c r="A2716" s="8" t="s">
        <v>187</v>
      </c>
      <c r="B2716" s="9" t="s">
        <v>42</v>
      </c>
      <c r="C2716" s="16"/>
      <c r="D2716" s="16"/>
      <c r="E2716" s="19">
        <f>ROUND(E2712*0.1,2)</f>
        <v>18705.88</v>
      </c>
    </row>
    <row r="2717" spans="1:6" ht="11.25" customHeight="1" x14ac:dyDescent="0.2">
      <c r="A2717" s="8" t="s">
        <v>188</v>
      </c>
      <c r="B2717" s="9" t="s">
        <v>44</v>
      </c>
      <c r="C2717" s="16"/>
      <c r="D2717" s="16"/>
      <c r="E2717" s="19">
        <f>ROUND(E2713*0.1,2)</f>
        <v>17579.02</v>
      </c>
    </row>
    <row r="2718" spans="1:6" ht="15" customHeight="1" x14ac:dyDescent="0.2">
      <c r="A2718" s="7" t="s">
        <v>45</v>
      </c>
      <c r="B2718" s="6" t="s">
        <v>189</v>
      </c>
      <c r="C2718" s="16"/>
      <c r="D2718" s="16"/>
      <c r="E2718" s="17">
        <f>E2719+E2720+E2721+E2722</f>
        <v>840168.78000000014</v>
      </c>
    </row>
    <row r="2719" spans="1:6" ht="11.25" customHeight="1" x14ac:dyDescent="0.2">
      <c r="A2719" s="8" t="s">
        <v>47</v>
      </c>
      <c r="B2719" s="9" t="s">
        <v>48</v>
      </c>
      <c r="C2719" s="16">
        <v>1.96</v>
      </c>
      <c r="D2719" s="16">
        <v>18781</v>
      </c>
      <c r="E2719" s="19">
        <f>ROUND(C2719*D2719*12,2)</f>
        <v>441729.12</v>
      </c>
      <c r="F2719" s="20"/>
    </row>
    <row r="2720" spans="1:6" ht="11.25" customHeight="1" x14ac:dyDescent="0.2">
      <c r="A2720" s="8" t="s">
        <v>49</v>
      </c>
      <c r="B2720" s="9" t="s">
        <v>50</v>
      </c>
      <c r="C2720" s="16">
        <v>30.2</v>
      </c>
      <c r="D2720" s="16">
        <f>E2719</f>
        <v>441729.12</v>
      </c>
      <c r="E2720" s="19">
        <f>ROUND(C2720*D2720/100,2)</f>
        <v>133402.19</v>
      </c>
    </row>
    <row r="2721" spans="1:6" ht="11.25" customHeight="1" x14ac:dyDescent="0.2">
      <c r="A2721" s="8" t="s">
        <v>51</v>
      </c>
      <c r="B2721" s="9" t="s">
        <v>52</v>
      </c>
      <c r="C2721" s="16"/>
      <c r="D2721" s="16"/>
      <c r="E2721" s="19">
        <f>ROUND(E2719*0.5,2)</f>
        <v>220864.56</v>
      </c>
    </row>
    <row r="2722" spans="1:6" ht="11.25" customHeight="1" x14ac:dyDescent="0.2">
      <c r="A2722" s="8" t="s">
        <v>53</v>
      </c>
      <c r="B2722" s="9" t="s">
        <v>54</v>
      </c>
      <c r="C2722" s="16"/>
      <c r="D2722" s="16"/>
      <c r="E2722" s="19">
        <f>ROUND(E2719*0.1,2)</f>
        <v>44172.91</v>
      </c>
    </row>
    <row r="2723" spans="1:6" ht="20.100000000000001" customHeight="1" x14ac:dyDescent="0.2">
      <c r="A2723" s="5">
        <v>2</v>
      </c>
      <c r="B2723" s="6" t="s">
        <v>57</v>
      </c>
      <c r="C2723" s="16"/>
      <c r="D2723" s="16"/>
      <c r="E2723" s="17">
        <f>E2724+E2726+E2727+E2728+E2729+E2730+E2725</f>
        <v>545401.87</v>
      </c>
    </row>
    <row r="2724" spans="1:6" ht="11.25" customHeight="1" x14ac:dyDescent="0.2">
      <c r="A2724" s="35" t="s">
        <v>58</v>
      </c>
      <c r="B2724" s="9" t="s">
        <v>204</v>
      </c>
      <c r="C2724" s="16">
        <v>481.4</v>
      </c>
      <c r="D2724" s="16">
        <f>E2724/C2724</f>
        <v>177.97000415454923</v>
      </c>
      <c r="E2724" s="19">
        <v>85674.76</v>
      </c>
    </row>
    <row r="2725" spans="1:6" ht="11.25" customHeight="1" x14ac:dyDescent="0.2">
      <c r="A2725" s="35" t="s">
        <v>60</v>
      </c>
      <c r="B2725" s="9" t="s">
        <v>195</v>
      </c>
      <c r="C2725" s="16">
        <v>481.4</v>
      </c>
      <c r="D2725" s="16">
        <f>E2725/C2725</f>
        <v>219.63344412131283</v>
      </c>
      <c r="E2725" s="19">
        <v>105731.54</v>
      </c>
    </row>
    <row r="2726" spans="1:6" ht="11.25" customHeight="1" x14ac:dyDescent="0.2">
      <c r="A2726" s="35" t="s">
        <v>62</v>
      </c>
      <c r="B2726" s="9" t="s">
        <v>196</v>
      </c>
      <c r="C2726" s="16">
        <v>152.72</v>
      </c>
      <c r="D2726" s="16">
        <f>E2726/C2726</f>
        <v>848.40125720272397</v>
      </c>
      <c r="E2726" s="19">
        <v>129567.84</v>
      </c>
    </row>
    <row r="2727" spans="1:6" ht="11.25" customHeight="1" x14ac:dyDescent="0.2">
      <c r="A2727" s="35" t="s">
        <v>64</v>
      </c>
      <c r="B2727" s="9" t="s">
        <v>63</v>
      </c>
      <c r="C2727" s="16">
        <f>E2727/D2727</f>
        <v>25346.095063985373</v>
      </c>
      <c r="D2727" s="16">
        <v>5.47</v>
      </c>
      <c r="E2727" s="19">
        <f>98460+26316.01+13867.13</f>
        <v>138643.13999999998</v>
      </c>
      <c r="F2727" s="20"/>
    </row>
    <row r="2728" spans="1:6" ht="11.25" customHeight="1" x14ac:dyDescent="0.2">
      <c r="A2728" s="35" t="s">
        <v>66</v>
      </c>
      <c r="B2728" s="9" t="s">
        <v>65</v>
      </c>
      <c r="C2728" s="16">
        <f>E2728/D2728</f>
        <v>943.14770224636618</v>
      </c>
      <c r="D2728" s="16">
        <v>68.11</v>
      </c>
      <c r="E2728" s="19">
        <v>64237.79</v>
      </c>
    </row>
    <row r="2729" spans="1:6" ht="11.25" customHeight="1" x14ac:dyDescent="0.2">
      <c r="A2729" s="35" t="s">
        <v>68</v>
      </c>
      <c r="B2729" s="9" t="s">
        <v>69</v>
      </c>
      <c r="C2729" s="16">
        <v>1117.4000000000001</v>
      </c>
      <c r="D2729" s="16">
        <f>E2729/C2729</f>
        <v>3.3499999999999996</v>
      </c>
      <c r="E2729" s="19">
        <v>3743.29</v>
      </c>
    </row>
    <row r="2730" spans="1:6" ht="11.25" customHeight="1" x14ac:dyDescent="0.2">
      <c r="A2730" s="35" t="s">
        <v>70</v>
      </c>
      <c r="B2730" s="9" t="s">
        <v>71</v>
      </c>
      <c r="C2730" s="16">
        <v>94.68</v>
      </c>
      <c r="D2730" s="16">
        <f>E2730/C2730</f>
        <v>188.03876214617657</v>
      </c>
      <c r="E2730" s="19">
        <v>17803.509999999998</v>
      </c>
    </row>
    <row r="2731" spans="1:6" ht="20.100000000000001" customHeight="1" x14ac:dyDescent="0.2">
      <c r="A2731" s="5">
        <v>3</v>
      </c>
      <c r="B2731" s="6" t="s">
        <v>72</v>
      </c>
      <c r="C2731" s="16"/>
      <c r="D2731" s="16"/>
      <c r="E2731" s="17">
        <f>E2732+E2733+E2734+E2735+E2736+E2737+E2738+E2739+E2740+E2742+E2741</f>
        <v>344477.38976079959</v>
      </c>
    </row>
    <row r="2732" spans="1:6" ht="11.25" customHeight="1" x14ac:dyDescent="0.2">
      <c r="A2732" s="8" t="s">
        <v>73</v>
      </c>
      <c r="B2732" s="9" t="s">
        <v>74</v>
      </c>
      <c r="C2732" s="34">
        <v>4</v>
      </c>
      <c r="D2732" s="16">
        <f>E2732/C2732/12</f>
        <v>4068</v>
      </c>
      <c r="E2732" s="19">
        <v>195264</v>
      </c>
    </row>
    <row r="2733" spans="1:6" ht="11.25" customHeight="1" x14ac:dyDescent="0.2">
      <c r="A2733" s="8" t="s">
        <v>75</v>
      </c>
      <c r="B2733" s="9" t="s">
        <v>76</v>
      </c>
      <c r="C2733" s="16"/>
      <c r="D2733" s="16"/>
      <c r="E2733" s="19">
        <v>0</v>
      </c>
    </row>
    <row r="2734" spans="1:6" ht="11.25" customHeight="1" x14ac:dyDescent="0.2">
      <c r="A2734" s="8" t="s">
        <v>77</v>
      </c>
      <c r="B2734" s="9" t="s">
        <v>78</v>
      </c>
      <c r="C2734" s="16"/>
      <c r="D2734" s="16"/>
      <c r="E2734" s="19">
        <v>0</v>
      </c>
    </row>
    <row r="2735" spans="1:6" ht="11.25" customHeight="1" x14ac:dyDescent="0.2">
      <c r="A2735" s="8" t="s">
        <v>79</v>
      </c>
      <c r="B2735" s="9" t="s">
        <v>80</v>
      </c>
      <c r="C2735" s="16">
        <v>7066.8</v>
      </c>
      <c r="D2735" s="16">
        <f>E2735/C2735</f>
        <v>4.1514787456840434</v>
      </c>
      <c r="E2735" s="19">
        <v>29337.67</v>
      </c>
    </row>
    <row r="2736" spans="1:6" ht="11.25" customHeight="1" x14ac:dyDescent="0.2">
      <c r="A2736" s="8" t="s">
        <v>81</v>
      </c>
      <c r="B2736" s="9" t="s">
        <v>82</v>
      </c>
      <c r="C2736" s="34">
        <v>288</v>
      </c>
      <c r="D2736" s="16">
        <f>E2736/C2736</f>
        <v>71.676493055555568</v>
      </c>
      <c r="E2736" s="19">
        <v>20642.830000000002</v>
      </c>
    </row>
    <row r="2737" spans="1:6" ht="11.25" customHeight="1" x14ac:dyDescent="0.2">
      <c r="A2737" s="8" t="s">
        <v>83</v>
      </c>
      <c r="B2737" s="9" t="s">
        <v>194</v>
      </c>
      <c r="C2737" s="34">
        <v>144</v>
      </c>
      <c r="D2737" s="16">
        <f>E2737/C2737</f>
        <v>86.386736111111119</v>
      </c>
      <c r="E2737" s="19">
        <v>12439.69</v>
      </c>
    </row>
    <row r="2738" spans="1:6" ht="11.25" customHeight="1" x14ac:dyDescent="0.2">
      <c r="A2738" s="8" t="s">
        <v>85</v>
      </c>
      <c r="B2738" s="9" t="s">
        <v>86</v>
      </c>
      <c r="C2738" s="34"/>
      <c r="D2738" s="16"/>
      <c r="E2738" s="19">
        <v>0</v>
      </c>
    </row>
    <row r="2739" spans="1:6" ht="11.25" customHeight="1" x14ac:dyDescent="0.2">
      <c r="A2739" s="8" t="s">
        <v>87</v>
      </c>
      <c r="B2739" s="9" t="s">
        <v>88</v>
      </c>
      <c r="C2739" s="34">
        <v>144</v>
      </c>
      <c r="D2739" s="16">
        <f>E2739/C2739</f>
        <v>525.79916666666668</v>
      </c>
      <c r="E2739" s="19">
        <v>75715.08</v>
      </c>
    </row>
    <row r="2740" spans="1:6" ht="11.25" customHeight="1" x14ac:dyDescent="0.2">
      <c r="A2740" s="8" t="s">
        <v>89</v>
      </c>
      <c r="B2740" s="9" t="s">
        <v>90</v>
      </c>
      <c r="C2740" s="16"/>
      <c r="D2740" s="16"/>
      <c r="E2740" s="19">
        <v>0</v>
      </c>
    </row>
    <row r="2741" spans="1:6" ht="11.25" customHeight="1" x14ac:dyDescent="0.2">
      <c r="A2741" s="8" t="s">
        <v>91</v>
      </c>
      <c r="B2741" s="9" t="s">
        <v>202</v>
      </c>
      <c r="C2741" s="34">
        <v>4</v>
      </c>
      <c r="D2741" s="16">
        <f>E2741/C2741</f>
        <v>2769.5299401998955</v>
      </c>
      <c r="E2741" s="19">
        <f>2826.16*4*1.2*0.81663515754</f>
        <v>11078.119760799582</v>
      </c>
    </row>
    <row r="2742" spans="1:6" ht="11.25" customHeight="1" x14ac:dyDescent="0.2">
      <c r="A2742" s="8" t="s">
        <v>203</v>
      </c>
      <c r="B2742" s="9" t="s">
        <v>92</v>
      </c>
      <c r="C2742" s="16"/>
      <c r="D2742" s="16"/>
      <c r="E2742" s="19">
        <v>0</v>
      </c>
    </row>
    <row r="2743" spans="1:6" ht="15" customHeight="1" x14ac:dyDescent="0.2">
      <c r="A2743" s="5">
        <v>4</v>
      </c>
      <c r="B2743" s="6" t="s">
        <v>193</v>
      </c>
      <c r="C2743" s="16"/>
      <c r="D2743" s="16"/>
      <c r="E2743" s="17">
        <f>ROUND(F2744/1.1*0.1,2)</f>
        <v>223876.22</v>
      </c>
    </row>
    <row r="2744" spans="1:6" ht="18.75" customHeight="1" x14ac:dyDescent="0.2">
      <c r="A2744" s="10"/>
      <c r="B2744" s="11" t="s">
        <v>94</v>
      </c>
      <c r="C2744" s="21"/>
      <c r="D2744" s="21"/>
      <c r="E2744" s="17">
        <f>E2710+E2723+E2731+E2743</f>
        <v>2462638.4597608</v>
      </c>
      <c r="F2744" s="25">
        <f>E2697*29.04*12</f>
        <v>2462638.4640000002</v>
      </c>
    </row>
    <row r="2745" spans="1:6" ht="15" customHeight="1" x14ac:dyDescent="0.25">
      <c r="A2745" s="10"/>
      <c r="B2745" s="11" t="s">
        <v>199</v>
      </c>
      <c r="C2745" s="21"/>
      <c r="D2745" s="21"/>
      <c r="E2745" s="22">
        <v>29.04</v>
      </c>
    </row>
    <row r="2746" spans="1:6" ht="10.95" customHeight="1" x14ac:dyDescent="0.2"/>
    <row r="2747" spans="1:6" ht="10.95" customHeight="1" x14ac:dyDescent="0.2"/>
    <row r="2748" spans="1:6" ht="10.95" customHeight="1" x14ac:dyDescent="0.2"/>
    <row r="2749" spans="1:6" ht="15" customHeight="1" x14ac:dyDescent="0.25">
      <c r="B2749" s="12" t="s">
        <v>96</v>
      </c>
    </row>
    <row r="2750" spans="1:6" ht="12" customHeight="1" x14ac:dyDescent="0.2"/>
    <row r="2751" spans="1:6" ht="13.2" customHeight="1" x14ac:dyDescent="0.25">
      <c r="B2751" s="3" t="s">
        <v>97</v>
      </c>
    </row>
    <row r="2752" spans="1:6" ht="7.95" customHeight="1" x14ac:dyDescent="0.2"/>
    <row r="2753" spans="1:5" ht="12" customHeight="1" x14ac:dyDescent="0.25">
      <c r="B2753" s="41" t="s">
        <v>100</v>
      </c>
      <c r="C2753" s="41"/>
      <c r="D2753" s="41"/>
      <c r="E2753" s="41"/>
    </row>
    <row r="2754" spans="1:5" ht="10.95" customHeight="1" x14ac:dyDescent="0.2"/>
    <row r="2755" spans="1:5" ht="10.95" customHeight="1" x14ac:dyDescent="0.2"/>
    <row r="2756" spans="1:5" ht="10.95" customHeight="1" x14ac:dyDescent="0.2"/>
    <row r="2757" spans="1:5" ht="16.2" customHeight="1" x14ac:dyDescent="0.2">
      <c r="A2757" s="39" t="s">
        <v>0</v>
      </c>
      <c r="B2757" s="39"/>
      <c r="C2757" s="39"/>
      <c r="D2757" s="39"/>
      <c r="E2757" s="39"/>
    </row>
    <row r="2758" spans="1:5" ht="10.95" customHeight="1" x14ac:dyDescent="0.2">
      <c r="A2758" s="40" t="s">
        <v>1</v>
      </c>
      <c r="B2758" s="40"/>
      <c r="C2758" s="40"/>
      <c r="D2758" s="40"/>
      <c r="E2758" s="40"/>
    </row>
    <row r="2759" spans="1:5" ht="13.2" customHeight="1" x14ac:dyDescent="0.2">
      <c r="A2759" s="40" t="s">
        <v>198</v>
      </c>
      <c r="B2759" s="40"/>
      <c r="C2759" s="40"/>
      <c r="D2759" s="40"/>
      <c r="E2759" s="40"/>
    </row>
    <row r="2760" spans="1:5" ht="10.95" customHeight="1" x14ac:dyDescent="0.2"/>
    <row r="2761" spans="1:5" ht="10.95" customHeight="1" x14ac:dyDescent="0.2">
      <c r="C2761" s="42" t="s">
        <v>3</v>
      </c>
      <c r="D2761" s="42"/>
      <c r="E2761" s="42"/>
    </row>
    <row r="2762" spans="1:5" ht="12" customHeight="1" x14ac:dyDescent="0.2">
      <c r="D2762" s="26" t="s">
        <v>4</v>
      </c>
      <c r="E2762" s="24">
        <v>10700.4</v>
      </c>
    </row>
    <row r="2763" spans="1:5" ht="12" customHeight="1" x14ac:dyDescent="0.2">
      <c r="D2763" s="26" t="s">
        <v>5</v>
      </c>
      <c r="E2763" s="23">
        <v>0</v>
      </c>
    </row>
    <row r="2764" spans="1:5" ht="12" customHeight="1" x14ac:dyDescent="0.2">
      <c r="D2764" s="26" t="s">
        <v>6</v>
      </c>
      <c r="E2764" s="30">
        <v>6</v>
      </c>
    </row>
    <row r="2765" spans="1:5" ht="12" customHeight="1" x14ac:dyDescent="0.2">
      <c r="D2765" s="26" t="s">
        <v>7</v>
      </c>
      <c r="E2765" s="30">
        <v>9</v>
      </c>
    </row>
    <row r="2766" spans="1:5" ht="12" customHeight="1" x14ac:dyDescent="0.2">
      <c r="D2766" s="26" t="s">
        <v>8</v>
      </c>
      <c r="E2766" s="30">
        <v>215</v>
      </c>
    </row>
    <row r="2767" spans="1:5" ht="12" customHeight="1" x14ac:dyDescent="0.2">
      <c r="D2767" s="26" t="s">
        <v>9</v>
      </c>
      <c r="E2767" s="30">
        <v>522</v>
      </c>
    </row>
    <row r="2768" spans="1:5" ht="12" customHeight="1" x14ac:dyDescent="0.2">
      <c r="D2768" s="26" t="s">
        <v>10</v>
      </c>
      <c r="E2768" s="30">
        <v>6</v>
      </c>
    </row>
    <row r="2769" spans="1:6" ht="12" customHeight="1" x14ac:dyDescent="0.2">
      <c r="D2769" s="26" t="s">
        <v>11</v>
      </c>
      <c r="E2769" s="30">
        <v>0</v>
      </c>
    </row>
    <row r="2770" spans="1:6" ht="12" customHeight="1" x14ac:dyDescent="0.2">
      <c r="D2770" s="26" t="s">
        <v>12</v>
      </c>
      <c r="E2770" s="30">
        <v>0</v>
      </c>
    </row>
    <row r="2771" spans="1:6" ht="12" customHeight="1" x14ac:dyDescent="0.2">
      <c r="D2771" s="26" t="s">
        <v>13</v>
      </c>
      <c r="E2771" s="30">
        <v>1047</v>
      </c>
    </row>
    <row r="2772" spans="1:6" ht="12" customHeight="1" x14ac:dyDescent="0.25">
      <c r="A2772" s="2" t="s">
        <v>14</v>
      </c>
      <c r="B2772" s="3" t="s">
        <v>163</v>
      </c>
    </row>
    <row r="2773" spans="1:6" ht="10.95" customHeight="1" x14ac:dyDescent="0.2"/>
    <row r="2774" spans="1:6" ht="45" customHeight="1" x14ac:dyDescent="0.2">
      <c r="A2774" s="4" t="s">
        <v>15</v>
      </c>
      <c r="B2774" s="4" t="s">
        <v>131</v>
      </c>
      <c r="C2774" s="27" t="s">
        <v>17</v>
      </c>
      <c r="D2774" s="27" t="s">
        <v>103</v>
      </c>
      <c r="E2774" s="27" t="s">
        <v>19</v>
      </c>
    </row>
    <row r="2775" spans="1:6" ht="31.5" customHeight="1" x14ac:dyDescent="0.2">
      <c r="A2775" s="5">
        <v>1</v>
      </c>
      <c r="B2775" s="6" t="s">
        <v>190</v>
      </c>
      <c r="C2775" s="16"/>
      <c r="D2775" s="16"/>
      <c r="E2775" s="17">
        <f>E2776+E2783</f>
        <v>2029190.8840000001</v>
      </c>
    </row>
    <row r="2776" spans="1:6" ht="15" customHeight="1" x14ac:dyDescent="0.2">
      <c r="A2776" s="7" t="s">
        <v>21</v>
      </c>
      <c r="B2776" s="6" t="s">
        <v>132</v>
      </c>
      <c r="C2776" s="16"/>
      <c r="D2776" s="16"/>
      <c r="E2776" s="17">
        <f>SUM(E2777:E2782)</f>
        <v>764651.13400000008</v>
      </c>
    </row>
    <row r="2777" spans="1:6" ht="11.25" customHeight="1" x14ac:dyDescent="0.2">
      <c r="A2777" s="15" t="s">
        <v>23</v>
      </c>
      <c r="B2777" s="9" t="s">
        <v>34</v>
      </c>
      <c r="C2777" s="16">
        <v>1.2</v>
      </c>
      <c r="D2777" s="16">
        <v>18781</v>
      </c>
      <c r="E2777" s="19">
        <f>ROUND(C2777*D2777,2)*12</f>
        <v>270446.40000000002</v>
      </c>
      <c r="F2777" s="20"/>
    </row>
    <row r="2778" spans="1:6" ht="11.25" customHeight="1" x14ac:dyDescent="0.2">
      <c r="A2778" s="8" t="s">
        <v>31</v>
      </c>
      <c r="B2778" s="9" t="s">
        <v>36</v>
      </c>
      <c r="C2778" s="16">
        <v>1.22</v>
      </c>
      <c r="D2778" s="16">
        <v>18781</v>
      </c>
      <c r="E2778" s="19">
        <f>ROUND(C2778*D2778,2)*12</f>
        <v>274953.83999999997</v>
      </c>
    </row>
    <row r="2779" spans="1:6" ht="11.25" customHeight="1" x14ac:dyDescent="0.2">
      <c r="A2779" s="8" t="s">
        <v>121</v>
      </c>
      <c r="B2779" s="9" t="s">
        <v>38</v>
      </c>
      <c r="C2779" s="16">
        <v>30.2</v>
      </c>
      <c r="D2779" s="16">
        <f>E2777</f>
        <v>270446.40000000002</v>
      </c>
      <c r="E2779" s="19">
        <f>ROUND(C2779*D2779/100,2)</f>
        <v>81674.81</v>
      </c>
    </row>
    <row r="2780" spans="1:6" ht="11.25" customHeight="1" x14ac:dyDescent="0.2">
      <c r="A2780" s="8" t="s">
        <v>186</v>
      </c>
      <c r="B2780" s="9" t="s">
        <v>40</v>
      </c>
      <c r="C2780" s="16">
        <v>30.2</v>
      </c>
      <c r="D2780" s="16">
        <f>E2778</f>
        <v>274953.83999999997</v>
      </c>
      <c r="E2780" s="19">
        <f>ROUND(C2780*D2780/100,2)</f>
        <v>83036.06</v>
      </c>
    </row>
    <row r="2781" spans="1:6" ht="11.25" customHeight="1" x14ac:dyDescent="0.2">
      <c r="A2781" s="8" t="s">
        <v>187</v>
      </c>
      <c r="B2781" s="9" t="s">
        <v>42</v>
      </c>
      <c r="C2781" s="16"/>
      <c r="D2781" s="16"/>
      <c r="E2781" s="19">
        <f>E2777*0.1</f>
        <v>27044.640000000003</v>
      </c>
    </row>
    <row r="2782" spans="1:6" ht="11.25" customHeight="1" x14ac:dyDescent="0.2">
      <c r="A2782" s="8" t="s">
        <v>188</v>
      </c>
      <c r="B2782" s="9" t="s">
        <v>44</v>
      </c>
      <c r="C2782" s="16"/>
      <c r="D2782" s="16"/>
      <c r="E2782" s="19">
        <f>E2778*0.1</f>
        <v>27495.383999999998</v>
      </c>
    </row>
    <row r="2783" spans="1:6" ht="15" customHeight="1" x14ac:dyDescent="0.2">
      <c r="A2783" s="7" t="s">
        <v>45</v>
      </c>
      <c r="B2783" s="6" t="s">
        <v>189</v>
      </c>
      <c r="C2783" s="16"/>
      <c r="D2783" s="16"/>
      <c r="E2783" s="17">
        <f>E2784+E2785+E2786+E2787</f>
        <v>1264539.75</v>
      </c>
    </row>
    <row r="2784" spans="1:6" ht="11.25" customHeight="1" x14ac:dyDescent="0.2">
      <c r="A2784" s="8" t="s">
        <v>47</v>
      </c>
      <c r="B2784" s="9" t="s">
        <v>48</v>
      </c>
      <c r="C2784" s="16">
        <v>2.95</v>
      </c>
      <c r="D2784" s="16">
        <v>18781</v>
      </c>
      <c r="E2784" s="19">
        <f>C2784*D2784*12</f>
        <v>664847.4</v>
      </c>
      <c r="F2784" s="20"/>
    </row>
    <row r="2785" spans="1:6" ht="11.25" customHeight="1" x14ac:dyDescent="0.2">
      <c r="A2785" s="8" t="s">
        <v>49</v>
      </c>
      <c r="B2785" s="9" t="s">
        <v>50</v>
      </c>
      <c r="C2785" s="16">
        <v>30.2</v>
      </c>
      <c r="D2785" s="16">
        <f>E2784</f>
        <v>664847.4</v>
      </c>
      <c r="E2785" s="19">
        <f>ROUND(C2785*D2785/100,2)</f>
        <v>200783.91</v>
      </c>
    </row>
    <row r="2786" spans="1:6" ht="11.25" customHeight="1" x14ac:dyDescent="0.2">
      <c r="A2786" s="8" t="s">
        <v>51</v>
      </c>
      <c r="B2786" s="9" t="s">
        <v>52</v>
      </c>
      <c r="C2786" s="16"/>
      <c r="D2786" s="16"/>
      <c r="E2786" s="19">
        <f>E2784*0.5</f>
        <v>332423.7</v>
      </c>
    </row>
    <row r="2787" spans="1:6" ht="11.25" customHeight="1" x14ac:dyDescent="0.2">
      <c r="A2787" s="8" t="s">
        <v>53</v>
      </c>
      <c r="B2787" s="9" t="s">
        <v>54</v>
      </c>
      <c r="C2787" s="16"/>
      <c r="D2787" s="16"/>
      <c r="E2787" s="19">
        <f>E2784*0.1</f>
        <v>66484.740000000005</v>
      </c>
    </row>
    <row r="2788" spans="1:6" ht="20.100000000000001" customHeight="1" x14ac:dyDescent="0.2">
      <c r="A2788" s="5">
        <v>2</v>
      </c>
      <c r="B2788" s="6" t="s">
        <v>57</v>
      </c>
      <c r="C2788" s="16"/>
      <c r="D2788" s="16"/>
      <c r="E2788" s="17">
        <f>E2789+E2791+E2792+E2793+E2794+E2795+E2790</f>
        <v>843301.24</v>
      </c>
    </row>
    <row r="2789" spans="1:6" ht="11.25" customHeight="1" x14ac:dyDescent="0.2">
      <c r="A2789" s="35" t="s">
        <v>58</v>
      </c>
      <c r="B2789" s="9" t="s">
        <v>204</v>
      </c>
      <c r="C2789" s="16">
        <v>756.9</v>
      </c>
      <c r="D2789" s="16">
        <f>E2789/C2789</f>
        <v>177.96999603646452</v>
      </c>
      <c r="E2789" s="19">
        <v>134705.49</v>
      </c>
    </row>
    <row r="2790" spans="1:6" ht="11.25" customHeight="1" x14ac:dyDescent="0.2">
      <c r="A2790" s="35" t="s">
        <v>60</v>
      </c>
      <c r="B2790" s="9" t="s">
        <v>195</v>
      </c>
      <c r="C2790" s="16">
        <v>756.9</v>
      </c>
      <c r="D2790" s="16">
        <f>E2790/C2790</f>
        <v>219.63343902761261</v>
      </c>
      <c r="E2790" s="19">
        <v>166240.54999999999</v>
      </c>
    </row>
    <row r="2791" spans="1:6" ht="11.25" customHeight="1" x14ac:dyDescent="0.2">
      <c r="A2791" s="35" t="s">
        <v>62</v>
      </c>
      <c r="B2791" s="9" t="s">
        <v>196</v>
      </c>
      <c r="C2791" s="16">
        <v>240.12</v>
      </c>
      <c r="D2791" s="16">
        <f>E2791/C2791</f>
        <v>848.40125770448105</v>
      </c>
      <c r="E2791" s="19">
        <v>203718.11</v>
      </c>
    </row>
    <row r="2792" spans="1:6" ht="11.25" customHeight="1" x14ac:dyDescent="0.2">
      <c r="A2792" s="35" t="s">
        <v>64</v>
      </c>
      <c r="B2792" s="9" t="s">
        <v>63</v>
      </c>
      <c r="C2792" s="16">
        <f>E2792/D2792</f>
        <v>35611.358318098726</v>
      </c>
      <c r="D2792" s="16">
        <v>5.47</v>
      </c>
      <c r="E2792" s="19">
        <f>164100+9893.43+20800.7</f>
        <v>194794.13</v>
      </c>
      <c r="F2792" s="20"/>
    </row>
    <row r="2793" spans="1:6" ht="11.25" customHeight="1" x14ac:dyDescent="0.2">
      <c r="A2793" s="35" t="s">
        <v>66</v>
      </c>
      <c r="B2793" s="9" t="s">
        <v>65</v>
      </c>
      <c r="C2793" s="16">
        <f>E2793/D2793</f>
        <v>1637.0967552488621</v>
      </c>
      <c r="D2793" s="16">
        <v>68.11</v>
      </c>
      <c r="E2793" s="19">
        <v>111502.66</v>
      </c>
    </row>
    <row r="2794" spans="1:6" ht="11.25" customHeight="1" x14ac:dyDescent="0.2">
      <c r="A2794" s="35" t="s">
        <v>68</v>
      </c>
      <c r="B2794" s="9" t="s">
        <v>69</v>
      </c>
      <c r="C2794" s="16">
        <v>1682.1</v>
      </c>
      <c r="D2794" s="16">
        <f>E2794/C2794</f>
        <v>3.3499970275251174</v>
      </c>
      <c r="E2794" s="19">
        <v>5635.03</v>
      </c>
    </row>
    <row r="2795" spans="1:6" ht="11.25" customHeight="1" x14ac:dyDescent="0.2">
      <c r="A2795" s="35" t="s">
        <v>70</v>
      </c>
      <c r="B2795" s="9" t="s">
        <v>71</v>
      </c>
      <c r="C2795" s="16">
        <v>142.02000000000001</v>
      </c>
      <c r="D2795" s="16">
        <f>E2795/C2795</f>
        <v>188.03879735248555</v>
      </c>
      <c r="E2795" s="19">
        <v>26705.27</v>
      </c>
    </row>
    <row r="2796" spans="1:6" ht="20.100000000000001" customHeight="1" x14ac:dyDescent="0.2">
      <c r="A2796" s="5">
        <v>3</v>
      </c>
      <c r="B2796" s="6" t="s">
        <v>72</v>
      </c>
      <c r="C2796" s="16"/>
      <c r="D2796" s="16"/>
      <c r="E2796" s="17">
        <f>E2797+E2798+E2799+E2800+E2801+E2802+E2803+E2804+E2805+E2807+E2806</f>
        <v>517394.5996411994</v>
      </c>
    </row>
    <row r="2797" spans="1:6" ht="11.25" customHeight="1" x14ac:dyDescent="0.2">
      <c r="A2797" s="8" t="s">
        <v>73</v>
      </c>
      <c r="B2797" s="9" t="s">
        <v>74</v>
      </c>
      <c r="C2797" s="34">
        <v>6</v>
      </c>
      <c r="D2797" s="16">
        <f>E2797/C2797/12</f>
        <v>4068</v>
      </c>
      <c r="E2797" s="19">
        <v>292896</v>
      </c>
    </row>
    <row r="2798" spans="1:6" ht="11.25" customHeight="1" x14ac:dyDescent="0.2">
      <c r="A2798" s="8" t="s">
        <v>75</v>
      </c>
      <c r="B2798" s="9" t="s">
        <v>76</v>
      </c>
      <c r="C2798" s="16"/>
      <c r="D2798" s="16"/>
      <c r="E2798" s="19">
        <v>0</v>
      </c>
    </row>
    <row r="2799" spans="1:6" ht="11.25" customHeight="1" x14ac:dyDescent="0.2">
      <c r="A2799" s="8" t="s">
        <v>77</v>
      </c>
      <c r="B2799" s="9" t="s">
        <v>78</v>
      </c>
      <c r="C2799" s="16"/>
      <c r="D2799" s="16"/>
      <c r="E2799" s="19">
        <v>0</v>
      </c>
    </row>
    <row r="2800" spans="1:6" ht="11.25" customHeight="1" x14ac:dyDescent="0.2">
      <c r="A2800" s="8" t="s">
        <v>79</v>
      </c>
      <c r="B2800" s="9" t="s">
        <v>80</v>
      </c>
      <c r="C2800" s="16">
        <v>10700.4</v>
      </c>
      <c r="D2800" s="16">
        <f>E2800/C2800</f>
        <v>4.1500308399685997</v>
      </c>
      <c r="E2800" s="19">
        <v>44406.99</v>
      </c>
    </row>
    <row r="2801" spans="1:6" ht="11.25" customHeight="1" x14ac:dyDescent="0.2">
      <c r="A2801" s="8" t="s">
        <v>81</v>
      </c>
      <c r="B2801" s="9" t="s">
        <v>82</v>
      </c>
      <c r="C2801" s="34">
        <v>430</v>
      </c>
      <c r="D2801" s="16">
        <f>E2801/C2801</f>
        <v>71.707116279069766</v>
      </c>
      <c r="E2801" s="19">
        <v>30834.06</v>
      </c>
    </row>
    <row r="2802" spans="1:6" ht="11.25" customHeight="1" x14ac:dyDescent="0.2">
      <c r="A2802" s="8" t="s">
        <v>83</v>
      </c>
      <c r="B2802" s="9" t="s">
        <v>194</v>
      </c>
      <c r="C2802" s="34">
        <v>215</v>
      </c>
      <c r="D2802" s="16">
        <f>E2802/C2802</f>
        <v>86.064046511627907</v>
      </c>
      <c r="E2802" s="19">
        <v>18503.77</v>
      </c>
    </row>
    <row r="2803" spans="1:6" ht="11.25" customHeight="1" x14ac:dyDescent="0.2">
      <c r="A2803" s="8" t="s">
        <v>85</v>
      </c>
      <c r="B2803" s="9" t="s">
        <v>86</v>
      </c>
      <c r="C2803" s="34"/>
      <c r="D2803" s="16"/>
      <c r="E2803" s="19">
        <v>0</v>
      </c>
    </row>
    <row r="2804" spans="1:6" ht="11.25" customHeight="1" x14ac:dyDescent="0.2">
      <c r="A2804" s="8" t="s">
        <v>87</v>
      </c>
      <c r="B2804" s="9" t="s">
        <v>88</v>
      </c>
      <c r="C2804" s="34">
        <v>215</v>
      </c>
      <c r="D2804" s="16">
        <f>E2804/C2804</f>
        <v>530.86790697674417</v>
      </c>
      <c r="E2804" s="19">
        <v>114136.6</v>
      </c>
    </row>
    <row r="2805" spans="1:6" ht="11.25" customHeight="1" x14ac:dyDescent="0.2">
      <c r="A2805" s="8" t="s">
        <v>89</v>
      </c>
      <c r="B2805" s="9" t="s">
        <v>90</v>
      </c>
      <c r="C2805" s="16"/>
      <c r="D2805" s="16"/>
      <c r="E2805" s="19">
        <v>0</v>
      </c>
    </row>
    <row r="2806" spans="1:6" ht="11.25" customHeight="1" x14ac:dyDescent="0.2">
      <c r="A2806" s="8" t="s">
        <v>91</v>
      </c>
      <c r="B2806" s="9" t="s">
        <v>202</v>
      </c>
      <c r="C2806" s="34">
        <v>6</v>
      </c>
      <c r="D2806" s="16">
        <f>E2806/C2806</f>
        <v>2769.5299401998959</v>
      </c>
      <c r="E2806" s="19">
        <f>2826.16*6*1.2*0.81663515754</f>
        <v>16617.179641199375</v>
      </c>
    </row>
    <row r="2807" spans="1:6" ht="11.25" customHeight="1" x14ac:dyDescent="0.2">
      <c r="A2807" s="8" t="s">
        <v>203</v>
      </c>
      <c r="B2807" s="9" t="s">
        <v>92</v>
      </c>
      <c r="C2807" s="16"/>
      <c r="D2807" s="16"/>
      <c r="E2807" s="19">
        <v>0</v>
      </c>
    </row>
    <row r="2808" spans="1:6" ht="15" customHeight="1" x14ac:dyDescent="0.2">
      <c r="A2808" s="5">
        <v>4</v>
      </c>
      <c r="B2808" s="6" t="s">
        <v>193</v>
      </c>
      <c r="C2808" s="16"/>
      <c r="D2808" s="16"/>
      <c r="E2808" s="17">
        <f>F2809/1.1*0.1</f>
        <v>338988.67200000002</v>
      </c>
    </row>
    <row r="2809" spans="1:6" ht="18.75" customHeight="1" x14ac:dyDescent="0.2">
      <c r="A2809" s="10"/>
      <c r="B2809" s="11" t="s">
        <v>94</v>
      </c>
      <c r="C2809" s="21"/>
      <c r="D2809" s="21"/>
      <c r="E2809" s="17">
        <f>E2775+E2788+E2796+E2808</f>
        <v>3728875.3956411993</v>
      </c>
      <c r="F2809" s="25">
        <f>E2762*29.04*12</f>
        <v>3728875.392</v>
      </c>
    </row>
    <row r="2810" spans="1:6" ht="15" customHeight="1" x14ac:dyDescent="0.25">
      <c r="A2810" s="10"/>
      <c r="B2810" s="11" t="s">
        <v>199</v>
      </c>
      <c r="C2810" s="21"/>
      <c r="D2810" s="21"/>
      <c r="E2810" s="22">
        <v>29.04</v>
      </c>
    </row>
    <row r="2811" spans="1:6" ht="10.95" customHeight="1" x14ac:dyDescent="0.2"/>
    <row r="2812" spans="1:6" ht="10.95" customHeight="1" x14ac:dyDescent="0.2"/>
    <row r="2813" spans="1:6" ht="10.95" customHeight="1" x14ac:dyDescent="0.2"/>
    <row r="2814" spans="1:6" ht="15" customHeight="1" x14ac:dyDescent="0.25">
      <c r="B2814" s="12" t="s">
        <v>96</v>
      </c>
    </row>
    <row r="2815" spans="1:6" ht="12" customHeight="1" x14ac:dyDescent="0.2"/>
    <row r="2816" spans="1:6" ht="13.2" customHeight="1" x14ac:dyDescent="0.25">
      <c r="B2816" s="3" t="s">
        <v>97</v>
      </c>
    </row>
    <row r="2817" spans="1:5" ht="7.95" customHeight="1" x14ac:dyDescent="0.2"/>
    <row r="2818" spans="1:5" ht="12" customHeight="1" x14ac:dyDescent="0.25">
      <c r="B2818" s="41" t="s">
        <v>100</v>
      </c>
      <c r="C2818" s="41"/>
      <c r="D2818" s="41"/>
      <c r="E2818" s="41"/>
    </row>
    <row r="2819" spans="1:5" ht="10.95" customHeight="1" x14ac:dyDescent="0.2"/>
    <row r="2820" spans="1:5" ht="10.95" customHeight="1" x14ac:dyDescent="0.2"/>
    <row r="2821" spans="1:5" ht="10.95" customHeight="1" x14ac:dyDescent="0.2"/>
    <row r="2822" spans="1:5" ht="16.2" customHeight="1" x14ac:dyDescent="0.2">
      <c r="A2822" s="39" t="s">
        <v>0</v>
      </c>
      <c r="B2822" s="39"/>
      <c r="C2822" s="39"/>
      <c r="D2822" s="39"/>
      <c r="E2822" s="39"/>
    </row>
    <row r="2823" spans="1:5" ht="10.95" customHeight="1" x14ac:dyDescent="0.2">
      <c r="A2823" s="40" t="s">
        <v>1</v>
      </c>
      <c r="B2823" s="40"/>
      <c r="C2823" s="40"/>
      <c r="D2823" s="40"/>
      <c r="E2823" s="40"/>
    </row>
    <row r="2824" spans="1:5" ht="13.2" customHeight="1" x14ac:dyDescent="0.2">
      <c r="A2824" s="40" t="s">
        <v>198</v>
      </c>
      <c r="B2824" s="40"/>
      <c r="C2824" s="40"/>
      <c r="D2824" s="40"/>
      <c r="E2824" s="40"/>
    </row>
    <row r="2825" spans="1:5" ht="10.95" customHeight="1" x14ac:dyDescent="0.2"/>
    <row r="2826" spans="1:5" ht="10.95" customHeight="1" x14ac:dyDescent="0.2">
      <c r="C2826" s="42" t="s">
        <v>3</v>
      </c>
      <c r="D2826" s="42"/>
      <c r="E2826" s="42"/>
    </row>
    <row r="2827" spans="1:5" ht="12" customHeight="1" x14ac:dyDescent="0.2">
      <c r="D2827" s="26" t="s">
        <v>4</v>
      </c>
      <c r="E2827" s="24">
        <v>3658.7</v>
      </c>
    </row>
    <row r="2828" spans="1:5" ht="12" customHeight="1" x14ac:dyDescent="0.2">
      <c r="D2828" s="26" t="s">
        <v>5</v>
      </c>
      <c r="E2828" s="23">
        <v>0</v>
      </c>
    </row>
    <row r="2829" spans="1:5" ht="12" customHeight="1" x14ac:dyDescent="0.2">
      <c r="D2829" s="26" t="s">
        <v>6</v>
      </c>
      <c r="E2829" s="30">
        <v>1</v>
      </c>
    </row>
    <row r="2830" spans="1:5" ht="12" customHeight="1" x14ac:dyDescent="0.2">
      <c r="D2830" s="26" t="s">
        <v>7</v>
      </c>
      <c r="E2830" s="30">
        <v>12</v>
      </c>
    </row>
    <row r="2831" spans="1:5" ht="12" customHeight="1" x14ac:dyDescent="0.2">
      <c r="D2831" s="26" t="s">
        <v>8</v>
      </c>
      <c r="E2831" s="30">
        <v>84</v>
      </c>
    </row>
    <row r="2832" spans="1:5" ht="12" customHeight="1" x14ac:dyDescent="0.2">
      <c r="D2832" s="26" t="s">
        <v>9</v>
      </c>
      <c r="E2832" s="30">
        <v>176</v>
      </c>
    </row>
    <row r="2833" spans="1:6" ht="12" customHeight="1" x14ac:dyDescent="0.2">
      <c r="D2833" s="26" t="s">
        <v>10</v>
      </c>
      <c r="E2833" s="30">
        <v>2</v>
      </c>
    </row>
    <row r="2834" spans="1:6" ht="12" customHeight="1" x14ac:dyDescent="0.2">
      <c r="D2834" s="26" t="s">
        <v>11</v>
      </c>
      <c r="E2834" s="30">
        <v>1</v>
      </c>
    </row>
    <row r="2835" spans="1:6" ht="12" customHeight="1" x14ac:dyDescent="0.2">
      <c r="D2835" s="26" t="s">
        <v>12</v>
      </c>
      <c r="E2835" s="30">
        <v>0</v>
      </c>
    </row>
    <row r="2836" spans="1:6" ht="12" customHeight="1" x14ac:dyDescent="0.2">
      <c r="D2836" s="26" t="s">
        <v>13</v>
      </c>
      <c r="E2836" s="30">
        <v>278</v>
      </c>
    </row>
    <row r="2837" spans="1:6" ht="12" customHeight="1" x14ac:dyDescent="0.25">
      <c r="A2837" s="2" t="s">
        <v>14</v>
      </c>
      <c r="B2837" s="3" t="s">
        <v>164</v>
      </c>
    </row>
    <row r="2838" spans="1:6" ht="10.95" customHeight="1" x14ac:dyDescent="0.2"/>
    <row r="2839" spans="1:6" ht="45" customHeight="1" x14ac:dyDescent="0.2">
      <c r="A2839" s="4" t="s">
        <v>15</v>
      </c>
      <c r="B2839" s="4" t="s">
        <v>131</v>
      </c>
      <c r="C2839" s="27" t="s">
        <v>17</v>
      </c>
      <c r="D2839" s="27" t="s">
        <v>103</v>
      </c>
      <c r="E2839" s="27" t="s">
        <v>19</v>
      </c>
    </row>
    <row r="2840" spans="1:6" ht="31.5" customHeight="1" x14ac:dyDescent="0.2">
      <c r="A2840" s="5">
        <v>1</v>
      </c>
      <c r="B2840" s="6" t="s">
        <v>190</v>
      </c>
      <c r="C2840" s="16"/>
      <c r="D2840" s="16"/>
      <c r="E2840" s="17">
        <f>E2841+E2848</f>
        <v>595757.36199999996</v>
      </c>
    </row>
    <row r="2841" spans="1:6" ht="15" customHeight="1" x14ac:dyDescent="0.2">
      <c r="A2841" s="7" t="s">
        <v>21</v>
      </c>
      <c r="B2841" s="6" t="s">
        <v>132</v>
      </c>
      <c r="C2841" s="16"/>
      <c r="D2841" s="16"/>
      <c r="E2841" s="17">
        <f>SUM(E2842:E2847)</f>
        <v>201103.946</v>
      </c>
    </row>
    <row r="2842" spans="1:6" ht="11.25" customHeight="1" x14ac:dyDescent="0.2">
      <c r="A2842" s="15" t="s">
        <v>23</v>
      </c>
      <c r="B2842" s="9" t="s">
        <v>34</v>
      </c>
      <c r="C2842" s="16">
        <v>0.26</v>
      </c>
      <c r="D2842" s="16">
        <v>18781</v>
      </c>
      <c r="E2842" s="19">
        <f>ROUND(C2842*D2842,2)*12</f>
        <v>58596.72</v>
      </c>
      <c r="F2842" s="20"/>
    </row>
    <row r="2843" spans="1:6" ht="11.25" customHeight="1" x14ac:dyDescent="0.2">
      <c r="A2843" s="8" t="s">
        <v>31</v>
      </c>
      <c r="B2843" s="9" t="s">
        <v>36</v>
      </c>
      <c r="C2843" s="16">
        <v>0.4</v>
      </c>
      <c r="D2843" s="16">
        <v>18781</v>
      </c>
      <c r="E2843" s="19">
        <f>ROUND(C2843*D2843,2)*12</f>
        <v>90148.799999999988</v>
      </c>
    </row>
    <row r="2844" spans="1:6" ht="11.25" customHeight="1" x14ac:dyDescent="0.2">
      <c r="A2844" s="8" t="s">
        <v>121</v>
      </c>
      <c r="B2844" s="9" t="s">
        <v>38</v>
      </c>
      <c r="C2844" s="16">
        <v>30.2</v>
      </c>
      <c r="D2844" s="16">
        <f>E2842</f>
        <v>58596.72</v>
      </c>
      <c r="E2844" s="19">
        <f>ROUND(C2844*D2844/100,2)</f>
        <v>17696.21</v>
      </c>
    </row>
    <row r="2845" spans="1:6" ht="11.25" customHeight="1" x14ac:dyDescent="0.2">
      <c r="A2845" s="8" t="s">
        <v>186</v>
      </c>
      <c r="B2845" s="9" t="s">
        <v>40</v>
      </c>
      <c r="C2845" s="16">
        <v>30.2</v>
      </c>
      <c r="D2845" s="16">
        <f>E2843</f>
        <v>90148.799999999988</v>
      </c>
      <c r="E2845" s="19">
        <f>ROUND(C2845*D2845/100,2)</f>
        <v>27224.94</v>
      </c>
    </row>
    <row r="2846" spans="1:6" ht="11.25" customHeight="1" x14ac:dyDescent="0.2">
      <c r="A2846" s="8" t="s">
        <v>187</v>
      </c>
      <c r="B2846" s="9" t="s">
        <v>42</v>
      </c>
      <c r="C2846" s="16"/>
      <c r="D2846" s="16"/>
      <c r="E2846" s="19">
        <f>E2842*0.05</f>
        <v>2929.8360000000002</v>
      </c>
    </row>
    <row r="2847" spans="1:6" ht="11.25" customHeight="1" x14ac:dyDescent="0.2">
      <c r="A2847" s="8" t="s">
        <v>188</v>
      </c>
      <c r="B2847" s="9" t="s">
        <v>44</v>
      </c>
      <c r="C2847" s="16"/>
      <c r="D2847" s="16"/>
      <c r="E2847" s="19">
        <f>E2843*0.05</f>
        <v>4507.4399999999996</v>
      </c>
    </row>
    <row r="2848" spans="1:6" ht="15" customHeight="1" x14ac:dyDescent="0.2">
      <c r="A2848" s="7" t="s">
        <v>45</v>
      </c>
      <c r="B2848" s="6" t="s">
        <v>189</v>
      </c>
      <c r="C2848" s="16"/>
      <c r="D2848" s="16"/>
      <c r="E2848" s="17">
        <f>E2849+E2850+E2851+E2852</f>
        <v>394653.41599999997</v>
      </c>
    </row>
    <row r="2849" spans="1:6" ht="11.25" customHeight="1" x14ac:dyDescent="0.2">
      <c r="A2849" s="8" t="s">
        <v>47</v>
      </c>
      <c r="B2849" s="9" t="s">
        <v>48</v>
      </c>
      <c r="C2849" s="16">
        <v>1.06</v>
      </c>
      <c r="D2849" s="16">
        <v>18781</v>
      </c>
      <c r="E2849" s="19">
        <f>C2849*D2849*12</f>
        <v>238894.32</v>
      </c>
      <c r="F2849" s="20"/>
    </row>
    <row r="2850" spans="1:6" ht="11.25" customHeight="1" x14ac:dyDescent="0.2">
      <c r="A2850" s="8" t="s">
        <v>49</v>
      </c>
      <c r="B2850" s="9" t="s">
        <v>50</v>
      </c>
      <c r="C2850" s="16">
        <v>30.2</v>
      </c>
      <c r="D2850" s="16">
        <f>E2849</f>
        <v>238894.32</v>
      </c>
      <c r="E2850" s="19">
        <f>ROUND(C2850*D2850/100,2)</f>
        <v>72146.080000000002</v>
      </c>
    </row>
    <row r="2851" spans="1:6" ht="11.25" customHeight="1" x14ac:dyDescent="0.2">
      <c r="A2851" s="8" t="s">
        <v>51</v>
      </c>
      <c r="B2851" s="9" t="s">
        <v>52</v>
      </c>
      <c r="C2851" s="16"/>
      <c r="D2851" s="16"/>
      <c r="E2851" s="19">
        <f>E2849*0.3</f>
        <v>71668.296000000002</v>
      </c>
    </row>
    <row r="2852" spans="1:6" ht="11.25" customHeight="1" x14ac:dyDescent="0.2">
      <c r="A2852" s="8" t="s">
        <v>53</v>
      </c>
      <c r="B2852" s="9" t="s">
        <v>54</v>
      </c>
      <c r="C2852" s="16"/>
      <c r="D2852" s="16"/>
      <c r="E2852" s="19">
        <f>ROUND(E2849*0.05,2)</f>
        <v>11944.72</v>
      </c>
    </row>
    <row r="2853" spans="1:6" ht="20.100000000000001" customHeight="1" x14ac:dyDescent="0.2">
      <c r="A2853" s="5">
        <v>2</v>
      </c>
      <c r="B2853" s="6" t="s">
        <v>57</v>
      </c>
      <c r="C2853" s="16"/>
      <c r="D2853" s="16"/>
      <c r="E2853" s="17">
        <f>E2854+E2855+E2856+E2857+E2858+E2859+E2860</f>
        <v>384306.24000000005</v>
      </c>
    </row>
    <row r="2854" spans="1:6" ht="11.25" customHeight="1" x14ac:dyDescent="0.2">
      <c r="A2854" s="35" t="s">
        <v>58</v>
      </c>
      <c r="B2854" s="9" t="s">
        <v>204</v>
      </c>
      <c r="C2854" s="16">
        <v>255.2</v>
      </c>
      <c r="D2854" s="16">
        <f>E2854/C2854</f>
        <v>177.96998432601882</v>
      </c>
      <c r="E2854" s="19">
        <v>45417.94</v>
      </c>
    </row>
    <row r="2855" spans="1:6" ht="11.25" customHeight="1" x14ac:dyDescent="0.2">
      <c r="A2855" s="35" t="s">
        <v>60</v>
      </c>
      <c r="B2855" s="9" t="s">
        <v>195</v>
      </c>
      <c r="C2855" s="16">
        <v>255.2</v>
      </c>
      <c r="D2855" s="16">
        <f>E2855/C2855</f>
        <v>219.63342476489029</v>
      </c>
      <c r="E2855" s="19">
        <v>56050.45</v>
      </c>
    </row>
    <row r="2856" spans="1:6" ht="11.25" customHeight="1" x14ac:dyDescent="0.2">
      <c r="A2856" s="35" t="s">
        <v>62</v>
      </c>
      <c r="B2856" s="9" t="s">
        <v>196</v>
      </c>
      <c r="C2856" s="16">
        <v>80.959999999999994</v>
      </c>
      <c r="D2856" s="16">
        <f>E2856/C2856</f>
        <v>848.401185770751</v>
      </c>
      <c r="E2856" s="19">
        <v>68686.559999999998</v>
      </c>
    </row>
    <row r="2857" spans="1:6" ht="11.25" customHeight="1" x14ac:dyDescent="0.2">
      <c r="A2857" s="35" t="s">
        <v>64</v>
      </c>
      <c r="B2857" s="9" t="s">
        <v>63</v>
      </c>
      <c r="C2857" s="16">
        <f>E2857/D2857</f>
        <v>31998.632541133458</v>
      </c>
      <c r="D2857" s="16">
        <v>5.47</v>
      </c>
      <c r="E2857" s="19">
        <f>251620-76587.48</f>
        <v>175032.52000000002</v>
      </c>
      <c r="F2857" s="20"/>
    </row>
    <row r="2858" spans="1:6" ht="11.25" customHeight="1" x14ac:dyDescent="0.2">
      <c r="A2858" s="35" t="s">
        <v>66</v>
      </c>
      <c r="B2858" s="9" t="s">
        <v>65</v>
      </c>
      <c r="C2858" s="16">
        <f>E2858/D2858</f>
        <v>553.23183086184122</v>
      </c>
      <c r="D2858" s="16">
        <v>68.11</v>
      </c>
      <c r="E2858" s="19">
        <f>30897.93+6782.69</f>
        <v>37680.620000000003</v>
      </c>
    </row>
    <row r="2859" spans="1:6" ht="11.25" customHeight="1" x14ac:dyDescent="0.2">
      <c r="A2859" s="35" t="s">
        <v>68</v>
      </c>
      <c r="B2859" s="9" t="s">
        <v>69</v>
      </c>
      <c r="C2859" s="16">
        <v>429.3</v>
      </c>
      <c r="D2859" s="16">
        <f>E2859/C2859</f>
        <v>3.3499883531330075</v>
      </c>
      <c r="E2859" s="19">
        <v>1438.15</v>
      </c>
    </row>
    <row r="2860" spans="1:6" ht="11.25" customHeight="1" x14ac:dyDescent="0.2">
      <c r="A2860" s="35" t="s">
        <v>70</v>
      </c>
      <c r="B2860" s="9" t="s">
        <v>71</v>
      </c>
      <c r="C2860" s="16"/>
      <c r="D2860" s="16"/>
      <c r="E2860" s="19">
        <v>0</v>
      </c>
    </row>
    <row r="2861" spans="1:6" ht="20.100000000000001" customHeight="1" x14ac:dyDescent="0.2">
      <c r="A2861" s="5">
        <v>3</v>
      </c>
      <c r="B2861" s="6" t="s">
        <v>72</v>
      </c>
      <c r="C2861" s="16"/>
      <c r="D2861" s="16"/>
      <c r="E2861" s="17">
        <f>E2862+E2863+E2864+E2865+E2866+E2867+E2868+E2869+E2870+E2872+E2871</f>
        <v>179012.55988039979</v>
      </c>
    </row>
    <row r="2862" spans="1:6" ht="11.25" customHeight="1" x14ac:dyDescent="0.2">
      <c r="A2862" s="8" t="s">
        <v>73</v>
      </c>
      <c r="B2862" s="9" t="s">
        <v>74</v>
      </c>
      <c r="C2862" s="34">
        <v>2</v>
      </c>
      <c r="D2862" s="16">
        <f>E2862/C2862/12</f>
        <v>3648.7320833333338</v>
      </c>
      <c r="E2862" s="19">
        <v>87569.57</v>
      </c>
    </row>
    <row r="2863" spans="1:6" ht="11.25" customHeight="1" x14ac:dyDescent="0.2">
      <c r="A2863" s="8" t="s">
        <v>75</v>
      </c>
      <c r="B2863" s="9" t="s">
        <v>76</v>
      </c>
      <c r="C2863" s="34"/>
      <c r="D2863" s="16"/>
      <c r="E2863" s="19">
        <v>0</v>
      </c>
    </row>
    <row r="2864" spans="1:6" ht="11.25" customHeight="1" x14ac:dyDescent="0.2">
      <c r="A2864" s="8" t="s">
        <v>77</v>
      </c>
      <c r="B2864" s="9" t="s">
        <v>78</v>
      </c>
      <c r="C2864" s="34">
        <v>1</v>
      </c>
      <c r="D2864" s="16">
        <f>E2864/C2864/12</f>
        <v>928.83249999999998</v>
      </c>
      <c r="E2864" s="19">
        <v>11145.99</v>
      </c>
    </row>
    <row r="2865" spans="1:6" ht="11.25" customHeight="1" x14ac:dyDescent="0.2">
      <c r="A2865" s="8" t="s">
        <v>79</v>
      </c>
      <c r="B2865" s="9" t="s">
        <v>80</v>
      </c>
      <c r="C2865" s="16">
        <v>3658.7</v>
      </c>
      <c r="D2865" s="16">
        <f>E2865/C2865</f>
        <v>4.1500696968868729</v>
      </c>
      <c r="E2865" s="19">
        <v>15183.86</v>
      </c>
    </row>
    <row r="2866" spans="1:6" ht="11.25" customHeight="1" x14ac:dyDescent="0.2">
      <c r="A2866" s="8" t="s">
        <v>81</v>
      </c>
      <c r="B2866" s="9" t="s">
        <v>82</v>
      </c>
      <c r="C2866" s="34">
        <v>168</v>
      </c>
      <c r="D2866" s="16">
        <f>E2866/C2866</f>
        <v>68.483511904761897</v>
      </c>
      <c r="E2866" s="19">
        <v>11505.23</v>
      </c>
    </row>
    <row r="2867" spans="1:6" ht="11.25" customHeight="1" x14ac:dyDescent="0.2">
      <c r="A2867" s="8" t="s">
        <v>83</v>
      </c>
      <c r="B2867" s="9" t="s">
        <v>194</v>
      </c>
      <c r="C2867" s="34">
        <v>84</v>
      </c>
      <c r="D2867" s="16">
        <f>E2867/C2867</f>
        <v>86.858690476190475</v>
      </c>
      <c r="E2867" s="19">
        <v>7296.13</v>
      </c>
    </row>
    <row r="2868" spans="1:6" ht="11.25" customHeight="1" x14ac:dyDescent="0.2">
      <c r="A2868" s="8" t="s">
        <v>85</v>
      </c>
      <c r="B2868" s="9" t="s">
        <v>86</v>
      </c>
      <c r="C2868" s="34"/>
      <c r="D2868" s="16"/>
      <c r="E2868" s="19">
        <v>0</v>
      </c>
    </row>
    <row r="2869" spans="1:6" ht="11.25" customHeight="1" x14ac:dyDescent="0.2">
      <c r="A2869" s="8" t="s">
        <v>87</v>
      </c>
      <c r="B2869" s="9" t="s">
        <v>88</v>
      </c>
      <c r="C2869" s="34">
        <v>84</v>
      </c>
      <c r="D2869" s="16">
        <f>E2869/C2869</f>
        <v>485.38952380952384</v>
      </c>
      <c r="E2869" s="19">
        <v>40772.720000000001</v>
      </c>
    </row>
    <row r="2870" spans="1:6" ht="11.25" customHeight="1" x14ac:dyDescent="0.2">
      <c r="A2870" s="8" t="s">
        <v>89</v>
      </c>
      <c r="B2870" s="9" t="s">
        <v>90</v>
      </c>
      <c r="C2870" s="16"/>
      <c r="D2870" s="16"/>
      <c r="E2870" s="19">
        <v>0</v>
      </c>
    </row>
    <row r="2871" spans="1:6" ht="11.25" customHeight="1" x14ac:dyDescent="0.2">
      <c r="A2871" s="8" t="s">
        <v>91</v>
      </c>
      <c r="B2871" s="9" t="s">
        <v>202</v>
      </c>
      <c r="C2871" s="34">
        <v>2</v>
      </c>
      <c r="D2871" s="16">
        <f>E2871/C2871</f>
        <v>2769.5299401998955</v>
      </c>
      <c r="E2871" s="19">
        <f>2826.16*2*1.2*0.81663515754</f>
        <v>5539.0598803997909</v>
      </c>
    </row>
    <row r="2872" spans="1:6" ht="11.25" customHeight="1" x14ac:dyDescent="0.2">
      <c r="A2872" s="8" t="s">
        <v>203</v>
      </c>
      <c r="B2872" s="9" t="s">
        <v>92</v>
      </c>
      <c r="C2872" s="16"/>
      <c r="D2872" s="16"/>
      <c r="E2872" s="19">
        <v>0</v>
      </c>
    </row>
    <row r="2873" spans="1:6" ht="15" customHeight="1" x14ac:dyDescent="0.2">
      <c r="A2873" s="5">
        <v>4</v>
      </c>
      <c r="B2873" s="6" t="s">
        <v>193</v>
      </c>
      <c r="C2873" s="16"/>
      <c r="D2873" s="16"/>
      <c r="E2873" s="17">
        <f>F2874/1.1*0.1</f>
        <v>115907.61599999998</v>
      </c>
    </row>
    <row r="2874" spans="1:6" ht="18.75" customHeight="1" x14ac:dyDescent="0.2">
      <c r="A2874" s="10"/>
      <c r="B2874" s="11" t="s">
        <v>94</v>
      </c>
      <c r="C2874" s="21"/>
      <c r="D2874" s="21"/>
      <c r="E2874" s="17">
        <f>E2840+E2853+E2861+E2873</f>
        <v>1274983.7778803997</v>
      </c>
      <c r="F2874" s="25">
        <f>E2827*29.04*12</f>
        <v>1274983.7759999998</v>
      </c>
    </row>
    <row r="2875" spans="1:6" ht="15" customHeight="1" x14ac:dyDescent="0.25">
      <c r="A2875" s="10"/>
      <c r="B2875" s="11" t="s">
        <v>199</v>
      </c>
      <c r="C2875" s="21"/>
      <c r="D2875" s="21"/>
      <c r="E2875" s="22">
        <v>29.04</v>
      </c>
    </row>
    <row r="2876" spans="1:6" ht="10.95" customHeight="1" x14ac:dyDescent="0.2"/>
    <row r="2877" spans="1:6" ht="10.95" customHeight="1" x14ac:dyDescent="0.2"/>
    <row r="2878" spans="1:6" ht="10.95" customHeight="1" x14ac:dyDescent="0.2"/>
    <row r="2879" spans="1:6" ht="15" customHeight="1" x14ac:dyDescent="0.25">
      <c r="B2879" s="12" t="s">
        <v>96</v>
      </c>
    </row>
    <row r="2880" spans="1:6" ht="12" customHeight="1" x14ac:dyDescent="0.2"/>
    <row r="2881" spans="1:5" ht="13.2" customHeight="1" x14ac:dyDescent="0.25">
      <c r="B2881" s="3" t="s">
        <v>97</v>
      </c>
    </row>
    <row r="2882" spans="1:5" ht="7.95" customHeight="1" x14ac:dyDescent="0.2"/>
    <row r="2883" spans="1:5" ht="12" customHeight="1" x14ac:dyDescent="0.25">
      <c r="B2883" s="41" t="s">
        <v>100</v>
      </c>
      <c r="C2883" s="41"/>
      <c r="D2883" s="41"/>
      <c r="E2883" s="41"/>
    </row>
    <row r="2884" spans="1:5" ht="10.95" customHeight="1" x14ac:dyDescent="0.2"/>
    <row r="2885" spans="1:5" ht="10.95" customHeight="1" x14ac:dyDescent="0.2"/>
    <row r="2886" spans="1:5" ht="10.95" customHeight="1" x14ac:dyDescent="0.2"/>
    <row r="2887" spans="1:5" ht="16.2" customHeight="1" x14ac:dyDescent="0.2">
      <c r="A2887" s="39" t="s">
        <v>0</v>
      </c>
      <c r="B2887" s="39"/>
      <c r="C2887" s="39"/>
      <c r="D2887" s="39"/>
      <c r="E2887" s="39"/>
    </row>
    <row r="2888" spans="1:5" ht="10.95" customHeight="1" x14ac:dyDescent="0.2">
      <c r="A2888" s="40" t="s">
        <v>1</v>
      </c>
      <c r="B2888" s="40"/>
      <c r="C2888" s="40"/>
      <c r="D2888" s="40"/>
      <c r="E2888" s="40"/>
    </row>
    <row r="2889" spans="1:5" ht="13.2" customHeight="1" x14ac:dyDescent="0.2">
      <c r="A2889" s="40" t="s">
        <v>198</v>
      </c>
      <c r="B2889" s="40"/>
      <c r="C2889" s="40"/>
      <c r="D2889" s="40"/>
      <c r="E2889" s="40"/>
    </row>
    <row r="2890" spans="1:5" ht="10.95" customHeight="1" x14ac:dyDescent="0.2"/>
    <row r="2891" spans="1:5" ht="10.95" customHeight="1" x14ac:dyDescent="0.2">
      <c r="C2891" s="42" t="s">
        <v>3</v>
      </c>
      <c r="D2891" s="42"/>
      <c r="E2891" s="42"/>
    </row>
    <row r="2892" spans="1:5" ht="12" customHeight="1" x14ac:dyDescent="0.2">
      <c r="D2892" s="26" t="s">
        <v>4</v>
      </c>
      <c r="E2892" s="24">
        <v>12843.6</v>
      </c>
    </row>
    <row r="2893" spans="1:5" ht="12" customHeight="1" x14ac:dyDescent="0.2">
      <c r="D2893" s="26" t="s">
        <v>5</v>
      </c>
      <c r="E2893" s="23">
        <v>0</v>
      </c>
    </row>
    <row r="2894" spans="1:5" ht="12" customHeight="1" x14ac:dyDescent="0.2">
      <c r="D2894" s="26" t="s">
        <v>6</v>
      </c>
      <c r="E2894" s="30">
        <v>7</v>
      </c>
    </row>
    <row r="2895" spans="1:5" ht="12" customHeight="1" x14ac:dyDescent="0.2">
      <c r="D2895" s="26" t="s">
        <v>7</v>
      </c>
      <c r="E2895" s="30">
        <v>9</v>
      </c>
    </row>
    <row r="2896" spans="1:5" ht="12" customHeight="1" x14ac:dyDescent="0.2">
      <c r="D2896" s="26" t="s">
        <v>8</v>
      </c>
      <c r="E2896" s="30">
        <v>251</v>
      </c>
    </row>
    <row r="2897" spans="1:6" ht="12" customHeight="1" x14ac:dyDescent="0.2">
      <c r="D2897" s="26" t="s">
        <v>9</v>
      </c>
      <c r="E2897" s="30">
        <v>646</v>
      </c>
    </row>
    <row r="2898" spans="1:6" ht="12" customHeight="1" x14ac:dyDescent="0.2">
      <c r="D2898" s="26" t="s">
        <v>10</v>
      </c>
      <c r="E2898" s="30">
        <v>7</v>
      </c>
    </row>
    <row r="2899" spans="1:6" ht="12" customHeight="1" x14ac:dyDescent="0.2">
      <c r="D2899" s="26" t="s">
        <v>11</v>
      </c>
      <c r="E2899" s="30">
        <v>0</v>
      </c>
    </row>
    <row r="2900" spans="1:6" ht="12" customHeight="1" x14ac:dyDescent="0.2">
      <c r="D2900" s="26" t="s">
        <v>12</v>
      </c>
      <c r="E2900" s="30">
        <v>0</v>
      </c>
    </row>
    <row r="2901" spans="1:6" ht="12" customHeight="1" x14ac:dyDescent="0.2">
      <c r="D2901" s="26" t="s">
        <v>13</v>
      </c>
      <c r="E2901" s="30">
        <v>1518</v>
      </c>
    </row>
    <row r="2902" spans="1:6" ht="12" customHeight="1" x14ac:dyDescent="0.25">
      <c r="A2902" s="2" t="s">
        <v>14</v>
      </c>
      <c r="B2902" s="3" t="s">
        <v>165</v>
      </c>
    </row>
    <row r="2903" spans="1:6" ht="10.95" customHeight="1" x14ac:dyDescent="0.2"/>
    <row r="2904" spans="1:6" ht="45" customHeight="1" x14ac:dyDescent="0.2">
      <c r="A2904" s="4" t="s">
        <v>15</v>
      </c>
      <c r="B2904" s="4" t="s">
        <v>131</v>
      </c>
      <c r="C2904" s="27" t="s">
        <v>17</v>
      </c>
      <c r="D2904" s="27" t="s">
        <v>103</v>
      </c>
      <c r="E2904" s="27" t="s">
        <v>19</v>
      </c>
    </row>
    <row r="2905" spans="1:6" ht="31.5" customHeight="1" x14ac:dyDescent="0.2">
      <c r="A2905" s="5">
        <v>1</v>
      </c>
      <c r="B2905" s="6" t="s">
        <v>190</v>
      </c>
      <c r="C2905" s="16"/>
      <c r="D2905" s="16"/>
      <c r="E2905" s="17">
        <f>E2906+E2913</f>
        <v>2515476.0619999999</v>
      </c>
    </row>
    <row r="2906" spans="1:6" ht="15" customHeight="1" x14ac:dyDescent="0.2">
      <c r="A2906" s="7" t="s">
        <v>21</v>
      </c>
      <c r="B2906" s="6" t="s">
        <v>132</v>
      </c>
      <c r="C2906" s="16"/>
      <c r="D2906" s="16"/>
      <c r="E2906" s="17">
        <f>SUM(E2907:E2912)</f>
        <v>1023747.8060000001</v>
      </c>
    </row>
    <row r="2907" spans="1:6" ht="11.25" customHeight="1" x14ac:dyDescent="0.2">
      <c r="A2907" s="15" t="s">
        <v>23</v>
      </c>
      <c r="B2907" s="9" t="s">
        <v>34</v>
      </c>
      <c r="C2907" s="16">
        <v>1.73</v>
      </c>
      <c r="D2907" s="16">
        <v>18781</v>
      </c>
      <c r="E2907" s="19">
        <f>ROUND(C2907*D2907,2)*12</f>
        <v>389893.56</v>
      </c>
      <c r="F2907" s="20"/>
    </row>
    <row r="2908" spans="1:6" ht="11.25" customHeight="1" x14ac:dyDescent="0.2">
      <c r="A2908" s="8" t="s">
        <v>31</v>
      </c>
      <c r="B2908" s="9" t="s">
        <v>36</v>
      </c>
      <c r="C2908" s="16">
        <v>1.51</v>
      </c>
      <c r="D2908" s="16">
        <v>18781</v>
      </c>
      <c r="E2908" s="19">
        <f>ROUND(C2908*D2908,2)*12</f>
        <v>340311.72000000003</v>
      </c>
    </row>
    <row r="2909" spans="1:6" ht="11.25" customHeight="1" x14ac:dyDescent="0.2">
      <c r="A2909" s="8" t="s">
        <v>121</v>
      </c>
      <c r="B2909" s="9" t="s">
        <v>38</v>
      </c>
      <c r="C2909" s="16">
        <v>30.2</v>
      </c>
      <c r="D2909" s="16">
        <f>E2907</f>
        <v>389893.56</v>
      </c>
      <c r="E2909" s="19">
        <f>ROUND(C2909*D2909/100,2)</f>
        <v>117747.86</v>
      </c>
    </row>
    <row r="2910" spans="1:6" ht="11.25" customHeight="1" x14ac:dyDescent="0.2">
      <c r="A2910" s="8" t="s">
        <v>186</v>
      </c>
      <c r="B2910" s="9" t="s">
        <v>40</v>
      </c>
      <c r="C2910" s="16">
        <v>30.2</v>
      </c>
      <c r="D2910" s="16">
        <f>E2908</f>
        <v>340311.72000000003</v>
      </c>
      <c r="E2910" s="19">
        <f>ROUND(C2910*D2910/100,2)</f>
        <v>102774.14</v>
      </c>
    </row>
    <row r="2911" spans="1:6" ht="11.25" customHeight="1" x14ac:dyDescent="0.2">
      <c r="A2911" s="8" t="s">
        <v>187</v>
      </c>
      <c r="B2911" s="9" t="s">
        <v>42</v>
      </c>
      <c r="C2911" s="16"/>
      <c r="D2911" s="16"/>
      <c r="E2911" s="19">
        <f>E2907*0.1</f>
        <v>38989.356</v>
      </c>
    </row>
    <row r="2912" spans="1:6" ht="11.25" customHeight="1" x14ac:dyDescent="0.2">
      <c r="A2912" s="8" t="s">
        <v>188</v>
      </c>
      <c r="B2912" s="9" t="s">
        <v>44</v>
      </c>
      <c r="C2912" s="16"/>
      <c r="D2912" s="16"/>
      <c r="E2912" s="19">
        <f>ROUND(E2908*0.1,2)</f>
        <v>34031.17</v>
      </c>
    </row>
    <row r="2913" spans="1:6" ht="15" customHeight="1" x14ac:dyDescent="0.2">
      <c r="A2913" s="7" t="s">
        <v>45</v>
      </c>
      <c r="B2913" s="6" t="s">
        <v>189</v>
      </c>
      <c r="C2913" s="16"/>
      <c r="D2913" s="16"/>
      <c r="E2913" s="17">
        <f>E2914+E2915+E2916+E2917</f>
        <v>1491728.2559999998</v>
      </c>
    </row>
    <row r="2914" spans="1:6" ht="11.25" customHeight="1" x14ac:dyDescent="0.2">
      <c r="A2914" s="8" t="s">
        <v>47</v>
      </c>
      <c r="B2914" s="9" t="s">
        <v>48</v>
      </c>
      <c r="C2914" s="16">
        <v>3.48</v>
      </c>
      <c r="D2914" s="16">
        <v>18781</v>
      </c>
      <c r="E2914" s="19">
        <f>C2914*D2914*12</f>
        <v>784294.55999999994</v>
      </c>
      <c r="F2914" s="20"/>
    </row>
    <row r="2915" spans="1:6" ht="11.25" customHeight="1" x14ac:dyDescent="0.2">
      <c r="A2915" s="8" t="s">
        <v>49</v>
      </c>
      <c r="B2915" s="9" t="s">
        <v>50</v>
      </c>
      <c r="C2915" s="16">
        <v>30.2</v>
      </c>
      <c r="D2915" s="16">
        <f>E2914</f>
        <v>784294.55999999994</v>
      </c>
      <c r="E2915" s="19">
        <f>ROUND(C2915*D2915/100,2)</f>
        <v>236856.95999999999</v>
      </c>
    </row>
    <row r="2916" spans="1:6" ht="11.25" customHeight="1" x14ac:dyDescent="0.2">
      <c r="A2916" s="8" t="s">
        <v>51</v>
      </c>
      <c r="B2916" s="9" t="s">
        <v>52</v>
      </c>
      <c r="C2916" s="16"/>
      <c r="D2916" s="16"/>
      <c r="E2916" s="19">
        <f>E2914*0.5</f>
        <v>392147.27999999997</v>
      </c>
    </row>
    <row r="2917" spans="1:6" ht="11.25" customHeight="1" x14ac:dyDescent="0.2">
      <c r="A2917" s="8" t="s">
        <v>53</v>
      </c>
      <c r="B2917" s="9" t="s">
        <v>54</v>
      </c>
      <c r="C2917" s="16"/>
      <c r="D2917" s="16"/>
      <c r="E2917" s="19">
        <f>E2914*0.1</f>
        <v>78429.455999999991</v>
      </c>
    </row>
    <row r="2918" spans="1:6" ht="20.100000000000001" customHeight="1" x14ac:dyDescent="0.2">
      <c r="A2918" s="5">
        <v>2</v>
      </c>
      <c r="B2918" s="6" t="s">
        <v>57</v>
      </c>
      <c r="C2918" s="16"/>
      <c r="D2918" s="16"/>
      <c r="E2918" s="17">
        <f>E2919+E2921+E2922+E2923+E2924+E2925+E2920</f>
        <v>1040667.1199999999</v>
      </c>
    </row>
    <row r="2919" spans="1:6" ht="11.25" customHeight="1" x14ac:dyDescent="0.2">
      <c r="A2919" s="35" t="s">
        <v>58</v>
      </c>
      <c r="B2919" s="9" t="s">
        <v>204</v>
      </c>
      <c r="C2919" s="16">
        <v>936.7</v>
      </c>
      <c r="D2919" s="16">
        <f>E2919/C2919</f>
        <v>177.97000106757767</v>
      </c>
      <c r="E2919" s="19">
        <v>166704.5</v>
      </c>
    </row>
    <row r="2920" spans="1:6" ht="11.25" customHeight="1" x14ac:dyDescent="0.2">
      <c r="A2920" s="35" t="s">
        <v>60</v>
      </c>
      <c r="B2920" s="9" t="s">
        <v>195</v>
      </c>
      <c r="C2920" s="16">
        <v>936.7</v>
      </c>
      <c r="D2920" s="16">
        <f>E2920/C2920</f>
        <v>219.63343653250774</v>
      </c>
      <c r="E2920" s="19">
        <v>205730.64</v>
      </c>
    </row>
    <row r="2921" spans="1:6" ht="11.25" customHeight="1" x14ac:dyDescent="0.2">
      <c r="A2921" s="35" t="s">
        <v>62</v>
      </c>
      <c r="B2921" s="9" t="s">
        <v>196</v>
      </c>
      <c r="C2921" s="16">
        <v>297.16000000000003</v>
      </c>
      <c r="D2921" s="16">
        <f>E2921/C2921</f>
        <v>848.40123165971193</v>
      </c>
      <c r="E2921" s="19">
        <v>252110.91</v>
      </c>
    </row>
    <row r="2922" spans="1:6" ht="11.25" customHeight="1" x14ac:dyDescent="0.2">
      <c r="A2922" s="35" t="s">
        <v>64</v>
      </c>
      <c r="B2922" s="9" t="s">
        <v>63</v>
      </c>
      <c r="C2922" s="16">
        <f>E2922/D2922</f>
        <v>49127.24314442413</v>
      </c>
      <c r="D2922" s="16">
        <v>5.47</v>
      </c>
      <c r="E2922" s="19">
        <f>235210+9776.61+23739.41</f>
        <v>268726.01999999996</v>
      </c>
      <c r="F2922" s="20"/>
    </row>
    <row r="2923" spans="1:6" ht="11.25" customHeight="1" x14ac:dyDescent="0.2">
      <c r="A2923" s="35" t="s">
        <v>66</v>
      </c>
      <c r="B2923" s="9" t="s">
        <v>65</v>
      </c>
      <c r="C2923" s="16">
        <f>E2923/D2923</f>
        <v>2069.7414476581998</v>
      </c>
      <c r="D2923" s="16">
        <v>68.11</v>
      </c>
      <c r="E2923" s="19">
        <v>140970.09</v>
      </c>
    </row>
    <row r="2924" spans="1:6" ht="11.25" customHeight="1" x14ac:dyDescent="0.2">
      <c r="A2924" s="35" t="s">
        <v>68</v>
      </c>
      <c r="B2924" s="9" t="s">
        <v>69</v>
      </c>
      <c r="C2924" s="16">
        <v>1917.9</v>
      </c>
      <c r="D2924" s="16">
        <f>E2924/C2924</f>
        <v>3.3499973929819071</v>
      </c>
      <c r="E2924" s="19">
        <v>6424.96</v>
      </c>
    </row>
    <row r="2925" spans="1:6" ht="11.25" customHeight="1" x14ac:dyDescent="0.2">
      <c r="A2925" s="35" t="s">
        <v>70</v>
      </c>
      <c r="B2925" s="9" t="s">
        <v>71</v>
      </c>
      <c r="C2925" s="16"/>
      <c r="D2925" s="16"/>
      <c r="E2925" s="19">
        <v>0</v>
      </c>
    </row>
    <row r="2926" spans="1:6" ht="20.100000000000001" customHeight="1" x14ac:dyDescent="0.2">
      <c r="A2926" s="5">
        <v>3</v>
      </c>
      <c r="B2926" s="6" t="s">
        <v>72</v>
      </c>
      <c r="C2926" s="16"/>
      <c r="D2926" s="16"/>
      <c r="E2926" s="17">
        <f>E2927+E2928+E2929+E2930+E2931+E2932+E2933+E2934+E2935+E2937+E2936</f>
        <v>512709.2995813993</v>
      </c>
    </row>
    <row r="2927" spans="1:6" ht="11.25" customHeight="1" x14ac:dyDescent="0.2">
      <c r="A2927" s="8" t="s">
        <v>73</v>
      </c>
      <c r="B2927" s="9" t="s">
        <v>74</v>
      </c>
      <c r="C2927" s="34">
        <v>7</v>
      </c>
      <c r="D2927" s="16">
        <f>E2927/C2927/12</f>
        <v>2935.2959523809518</v>
      </c>
      <c r="E2927" s="19">
        <v>246564.86</v>
      </c>
    </row>
    <row r="2928" spans="1:6" ht="11.25" customHeight="1" x14ac:dyDescent="0.2">
      <c r="A2928" s="8" t="s">
        <v>75</v>
      </c>
      <c r="B2928" s="9" t="s">
        <v>76</v>
      </c>
      <c r="C2928" s="16"/>
      <c r="D2928" s="16"/>
      <c r="E2928" s="19">
        <v>0</v>
      </c>
    </row>
    <row r="2929" spans="1:6" ht="11.25" customHeight="1" x14ac:dyDescent="0.2">
      <c r="A2929" s="8" t="s">
        <v>77</v>
      </c>
      <c r="B2929" s="9" t="s">
        <v>78</v>
      </c>
      <c r="C2929" s="16"/>
      <c r="D2929" s="16"/>
      <c r="E2929" s="19">
        <v>0</v>
      </c>
    </row>
    <row r="2930" spans="1:6" ht="11.25" customHeight="1" x14ac:dyDescent="0.2">
      <c r="A2930" s="8" t="s">
        <v>79</v>
      </c>
      <c r="B2930" s="9" t="s">
        <v>80</v>
      </c>
      <c r="C2930" s="16">
        <v>12843.6</v>
      </c>
      <c r="D2930" s="16">
        <f>E2930/C2930</f>
        <v>4.1500692952131804</v>
      </c>
      <c r="E2930" s="19">
        <v>53301.83</v>
      </c>
    </row>
    <row r="2931" spans="1:6" ht="11.25" customHeight="1" x14ac:dyDescent="0.2">
      <c r="A2931" s="8" t="s">
        <v>81</v>
      </c>
      <c r="B2931" s="9" t="s">
        <v>82</v>
      </c>
      <c r="C2931" s="34">
        <v>502</v>
      </c>
      <c r="D2931" s="16">
        <f>E2931/C2931</f>
        <v>71.702729083665332</v>
      </c>
      <c r="E2931" s="19">
        <v>35994.769999999997</v>
      </c>
    </row>
    <row r="2932" spans="1:6" ht="11.25" customHeight="1" x14ac:dyDescent="0.2">
      <c r="A2932" s="8" t="s">
        <v>83</v>
      </c>
      <c r="B2932" s="9" t="s">
        <v>194</v>
      </c>
      <c r="C2932" s="34">
        <v>251</v>
      </c>
      <c r="D2932" s="16">
        <f>E2932/C2932</f>
        <v>86.268247011952198</v>
      </c>
      <c r="E2932" s="19">
        <v>21653.33</v>
      </c>
    </row>
    <row r="2933" spans="1:6" ht="11.25" customHeight="1" x14ac:dyDescent="0.2">
      <c r="A2933" s="8" t="s">
        <v>85</v>
      </c>
      <c r="B2933" s="9" t="s">
        <v>86</v>
      </c>
      <c r="C2933" s="34"/>
      <c r="D2933" s="16"/>
      <c r="E2933" s="19">
        <v>0</v>
      </c>
    </row>
    <row r="2934" spans="1:6" ht="11.25" customHeight="1" x14ac:dyDescent="0.2">
      <c r="A2934" s="8" t="s">
        <v>87</v>
      </c>
      <c r="B2934" s="9" t="s">
        <v>88</v>
      </c>
      <c r="C2934" s="34">
        <v>251</v>
      </c>
      <c r="D2934" s="16">
        <f>E2934/C2934</f>
        <v>541.06693227091625</v>
      </c>
      <c r="E2934" s="19">
        <v>135807.79999999999</v>
      </c>
    </row>
    <row r="2935" spans="1:6" ht="11.25" customHeight="1" x14ac:dyDescent="0.2">
      <c r="A2935" s="8" t="s">
        <v>89</v>
      </c>
      <c r="B2935" s="9" t="s">
        <v>90</v>
      </c>
      <c r="C2935" s="16"/>
      <c r="D2935" s="16"/>
      <c r="E2935" s="19">
        <v>0</v>
      </c>
    </row>
    <row r="2936" spans="1:6" ht="11.25" customHeight="1" x14ac:dyDescent="0.2">
      <c r="A2936" s="8" t="s">
        <v>91</v>
      </c>
      <c r="B2936" s="9" t="s">
        <v>202</v>
      </c>
      <c r="C2936" s="34">
        <v>7</v>
      </c>
      <c r="D2936" s="16">
        <f>E2936/C2936</f>
        <v>2769.5299401998959</v>
      </c>
      <c r="E2936" s="19">
        <f>2826.16*7*1.2*0.81663515754</f>
        <v>19386.709581399271</v>
      </c>
    </row>
    <row r="2937" spans="1:6" ht="11.25" customHeight="1" x14ac:dyDescent="0.2">
      <c r="A2937" s="8" t="s">
        <v>203</v>
      </c>
      <c r="B2937" s="9" t="s">
        <v>92</v>
      </c>
      <c r="C2937" s="16"/>
      <c r="D2937" s="16"/>
      <c r="E2937" s="19">
        <v>0</v>
      </c>
    </row>
    <row r="2938" spans="1:6" ht="15" customHeight="1" x14ac:dyDescent="0.2">
      <c r="A2938" s="5">
        <v>4</v>
      </c>
      <c r="B2938" s="6" t="s">
        <v>193</v>
      </c>
      <c r="C2938" s="16"/>
      <c r="D2938" s="16"/>
      <c r="E2938" s="17">
        <f>F2939/1.1*0.1</f>
        <v>406885.24800000002</v>
      </c>
    </row>
    <row r="2939" spans="1:6" ht="18.75" customHeight="1" x14ac:dyDescent="0.2">
      <c r="A2939" s="10"/>
      <c r="B2939" s="11" t="s">
        <v>94</v>
      </c>
      <c r="C2939" s="21"/>
      <c r="D2939" s="21"/>
      <c r="E2939" s="17">
        <f>E2905+E2918+E2926+E2938</f>
        <v>4475737.7295813989</v>
      </c>
      <c r="F2939" s="25">
        <f>E2892*29.04*12</f>
        <v>4475737.7280000001</v>
      </c>
    </row>
    <row r="2940" spans="1:6" ht="15" customHeight="1" x14ac:dyDescent="0.25">
      <c r="A2940" s="10"/>
      <c r="B2940" s="11" t="s">
        <v>199</v>
      </c>
      <c r="C2940" s="21"/>
      <c r="D2940" s="21"/>
      <c r="E2940" s="22">
        <v>29.04</v>
      </c>
    </row>
    <row r="2941" spans="1:6" ht="10.95" customHeight="1" x14ac:dyDescent="0.2"/>
    <row r="2942" spans="1:6" ht="10.95" customHeight="1" x14ac:dyDescent="0.2"/>
    <row r="2943" spans="1:6" ht="10.95" customHeight="1" x14ac:dyDescent="0.2"/>
    <row r="2944" spans="1:6" ht="15" customHeight="1" x14ac:dyDescent="0.25">
      <c r="B2944" s="12" t="s">
        <v>96</v>
      </c>
    </row>
    <row r="2945" spans="1:5" ht="12" customHeight="1" x14ac:dyDescent="0.2"/>
    <row r="2946" spans="1:5" ht="13.2" customHeight="1" x14ac:dyDescent="0.25">
      <c r="B2946" s="3" t="s">
        <v>97</v>
      </c>
    </row>
    <row r="2947" spans="1:5" ht="7.95" customHeight="1" x14ac:dyDescent="0.2"/>
    <row r="2948" spans="1:5" ht="12" customHeight="1" x14ac:dyDescent="0.25">
      <c r="B2948" s="41" t="s">
        <v>100</v>
      </c>
      <c r="C2948" s="41"/>
      <c r="D2948" s="41"/>
      <c r="E2948" s="41"/>
    </row>
    <row r="2949" spans="1:5" ht="10.95" customHeight="1" x14ac:dyDescent="0.2"/>
    <row r="2950" spans="1:5" ht="10.95" customHeight="1" x14ac:dyDescent="0.2"/>
    <row r="2951" spans="1:5" ht="10.95" customHeight="1" x14ac:dyDescent="0.2"/>
    <row r="2952" spans="1:5" ht="16.2" customHeight="1" x14ac:dyDescent="0.2">
      <c r="A2952" s="39" t="s">
        <v>0</v>
      </c>
      <c r="B2952" s="39"/>
      <c r="C2952" s="39"/>
      <c r="D2952" s="39"/>
      <c r="E2952" s="39"/>
    </row>
    <row r="2953" spans="1:5" ht="10.95" customHeight="1" x14ac:dyDescent="0.2">
      <c r="A2953" s="40" t="s">
        <v>1</v>
      </c>
      <c r="B2953" s="40"/>
      <c r="C2953" s="40"/>
      <c r="D2953" s="40"/>
      <c r="E2953" s="40"/>
    </row>
    <row r="2954" spans="1:5" ht="13.2" customHeight="1" x14ac:dyDescent="0.2">
      <c r="A2954" s="40" t="s">
        <v>201</v>
      </c>
      <c r="B2954" s="40"/>
      <c r="C2954" s="40"/>
      <c r="D2954" s="40"/>
      <c r="E2954" s="40"/>
    </row>
    <row r="2955" spans="1:5" ht="10.95" customHeight="1" x14ac:dyDescent="0.2"/>
    <row r="2956" spans="1:5" ht="10.95" customHeight="1" x14ac:dyDescent="0.2">
      <c r="C2956" s="42" t="s">
        <v>3</v>
      </c>
      <c r="D2956" s="42"/>
      <c r="E2956" s="42"/>
    </row>
    <row r="2957" spans="1:5" ht="12" customHeight="1" x14ac:dyDescent="0.2">
      <c r="D2957" s="26" t="s">
        <v>4</v>
      </c>
      <c r="E2957" s="24">
        <v>3578.2</v>
      </c>
    </row>
    <row r="2958" spans="1:5" ht="12" customHeight="1" x14ac:dyDescent="0.2">
      <c r="D2958" s="26" t="s">
        <v>5</v>
      </c>
      <c r="E2958" s="23">
        <v>33.700000000000003</v>
      </c>
    </row>
    <row r="2959" spans="1:5" ht="12" customHeight="1" x14ac:dyDescent="0.2">
      <c r="D2959" s="26" t="s">
        <v>6</v>
      </c>
      <c r="E2959" s="30">
        <v>1</v>
      </c>
    </row>
    <row r="2960" spans="1:5" ht="12" customHeight="1" x14ac:dyDescent="0.2">
      <c r="D2960" s="26" t="s">
        <v>7</v>
      </c>
      <c r="E2960" s="30">
        <v>12</v>
      </c>
    </row>
    <row r="2961" spans="1:6" ht="12" customHeight="1" x14ac:dyDescent="0.2">
      <c r="D2961" s="26" t="s">
        <v>8</v>
      </c>
      <c r="E2961" s="30">
        <v>83</v>
      </c>
    </row>
    <row r="2962" spans="1:6" ht="12" customHeight="1" x14ac:dyDescent="0.2">
      <c r="D2962" s="26" t="s">
        <v>9</v>
      </c>
      <c r="E2962" s="30">
        <v>188</v>
      </c>
    </row>
    <row r="2963" spans="1:6" ht="12" customHeight="1" x14ac:dyDescent="0.2">
      <c r="D2963" s="26" t="s">
        <v>10</v>
      </c>
      <c r="E2963" s="30">
        <v>2</v>
      </c>
    </row>
    <row r="2964" spans="1:6" ht="12" customHeight="1" x14ac:dyDescent="0.2">
      <c r="D2964" s="26" t="s">
        <v>11</v>
      </c>
      <c r="E2964" s="30">
        <v>1</v>
      </c>
    </row>
    <row r="2965" spans="1:6" ht="12" customHeight="1" x14ac:dyDescent="0.2">
      <c r="D2965" s="26" t="s">
        <v>12</v>
      </c>
      <c r="E2965" s="30">
        <v>0</v>
      </c>
    </row>
    <row r="2966" spans="1:6" ht="12" customHeight="1" x14ac:dyDescent="0.2">
      <c r="D2966" s="26" t="s">
        <v>13</v>
      </c>
      <c r="E2966" s="30">
        <v>500</v>
      </c>
    </row>
    <row r="2967" spans="1:6" ht="12" customHeight="1" x14ac:dyDescent="0.25">
      <c r="A2967" s="2" t="s">
        <v>14</v>
      </c>
      <c r="B2967" s="3" t="s">
        <v>191</v>
      </c>
    </row>
    <row r="2968" spans="1:6" ht="10.95" customHeight="1" x14ac:dyDescent="0.2"/>
    <row r="2969" spans="1:6" ht="45" customHeight="1" x14ac:dyDescent="0.2">
      <c r="A2969" s="4" t="s">
        <v>15</v>
      </c>
      <c r="B2969" s="4" t="s">
        <v>131</v>
      </c>
      <c r="C2969" s="27" t="s">
        <v>17</v>
      </c>
      <c r="D2969" s="27" t="s">
        <v>103</v>
      </c>
      <c r="E2969" s="27" t="s">
        <v>19</v>
      </c>
    </row>
    <row r="2970" spans="1:6" ht="31.5" customHeight="1" x14ac:dyDescent="0.2">
      <c r="A2970" s="5">
        <v>1</v>
      </c>
      <c r="B2970" s="6" t="s">
        <v>190</v>
      </c>
      <c r="C2970" s="16"/>
      <c r="D2970" s="16"/>
      <c r="E2970" s="17">
        <f>E2971+E2978</f>
        <v>662115.89400000009</v>
      </c>
    </row>
    <row r="2971" spans="1:6" ht="15" customHeight="1" x14ac:dyDescent="0.2">
      <c r="A2971" s="7" t="s">
        <v>21</v>
      </c>
      <c r="B2971" s="6" t="s">
        <v>132</v>
      </c>
      <c r="C2971" s="16"/>
      <c r="D2971" s="16"/>
      <c r="E2971" s="17">
        <f>SUM(E2972:E2977)</f>
        <v>271185.62400000001</v>
      </c>
    </row>
    <row r="2972" spans="1:6" ht="11.25" customHeight="1" x14ac:dyDescent="0.2">
      <c r="A2972" s="15" t="s">
        <v>23</v>
      </c>
      <c r="B2972" s="9" t="s">
        <v>34</v>
      </c>
      <c r="C2972" s="16">
        <v>0.46</v>
      </c>
      <c r="D2972" s="16">
        <v>18781</v>
      </c>
      <c r="E2972" s="19">
        <f>ROUND(C2972*D2972,2)*12</f>
        <v>103671.12</v>
      </c>
      <c r="F2972" s="20"/>
    </row>
    <row r="2973" spans="1:6" ht="11.25" customHeight="1" x14ac:dyDescent="0.2">
      <c r="A2973" s="8" t="s">
        <v>31</v>
      </c>
      <c r="B2973" s="9" t="s">
        <v>36</v>
      </c>
      <c r="C2973" s="16">
        <v>0.43</v>
      </c>
      <c r="D2973" s="16">
        <v>18781</v>
      </c>
      <c r="E2973" s="19">
        <f>ROUND(C2973*D2973,2)*12</f>
        <v>96909.959999999992</v>
      </c>
    </row>
    <row r="2974" spans="1:6" ht="11.25" customHeight="1" x14ac:dyDescent="0.2">
      <c r="A2974" s="8" t="s">
        <v>121</v>
      </c>
      <c r="B2974" s="9" t="s">
        <v>38</v>
      </c>
      <c r="C2974" s="16">
        <v>30.2</v>
      </c>
      <c r="D2974" s="16">
        <f>E2972</f>
        <v>103671.12</v>
      </c>
      <c r="E2974" s="19">
        <f>ROUND(C2974*D2974/100,2)</f>
        <v>31308.68</v>
      </c>
    </row>
    <row r="2975" spans="1:6" ht="11.25" customHeight="1" x14ac:dyDescent="0.2">
      <c r="A2975" s="8" t="s">
        <v>186</v>
      </c>
      <c r="B2975" s="9" t="s">
        <v>40</v>
      </c>
      <c r="C2975" s="16">
        <v>30.2</v>
      </c>
      <c r="D2975" s="16">
        <f>E2973</f>
        <v>96909.959999999992</v>
      </c>
      <c r="E2975" s="19">
        <f>ROUND(C2975*D2975/100,2)</f>
        <v>29266.81</v>
      </c>
    </row>
    <row r="2976" spans="1:6" ht="11.25" customHeight="1" x14ac:dyDescent="0.2">
      <c r="A2976" s="8" t="s">
        <v>187</v>
      </c>
      <c r="B2976" s="9" t="s">
        <v>42</v>
      </c>
      <c r="C2976" s="16"/>
      <c r="D2976" s="16"/>
      <c r="E2976" s="19">
        <f>E2972*0.05</f>
        <v>5183.5560000000005</v>
      </c>
    </row>
    <row r="2977" spans="1:6" ht="11.25" customHeight="1" x14ac:dyDescent="0.2">
      <c r="A2977" s="8" t="s">
        <v>188</v>
      </c>
      <c r="B2977" s="9" t="s">
        <v>44</v>
      </c>
      <c r="C2977" s="16"/>
      <c r="D2977" s="16"/>
      <c r="E2977" s="19">
        <f>E2973*0.05</f>
        <v>4845.4979999999996</v>
      </c>
    </row>
    <row r="2978" spans="1:6" ht="15" customHeight="1" x14ac:dyDescent="0.2">
      <c r="A2978" s="7" t="s">
        <v>45</v>
      </c>
      <c r="B2978" s="6" t="s">
        <v>189</v>
      </c>
      <c r="C2978" s="16"/>
      <c r="D2978" s="16"/>
      <c r="E2978" s="17">
        <f>E2979+E2980+E2981+E2982</f>
        <v>390930.27</v>
      </c>
    </row>
    <row r="2979" spans="1:6" ht="11.25" customHeight="1" x14ac:dyDescent="0.2">
      <c r="A2979" s="8" t="s">
        <v>47</v>
      </c>
      <c r="B2979" s="9" t="s">
        <v>48</v>
      </c>
      <c r="C2979" s="16">
        <v>1.05</v>
      </c>
      <c r="D2979" s="16">
        <v>18781</v>
      </c>
      <c r="E2979" s="19">
        <f>C2979*D2979*12</f>
        <v>236640.59999999998</v>
      </c>
      <c r="F2979" s="20"/>
    </row>
    <row r="2980" spans="1:6" ht="11.25" customHeight="1" x14ac:dyDescent="0.2">
      <c r="A2980" s="8" t="s">
        <v>49</v>
      </c>
      <c r="B2980" s="9" t="s">
        <v>50</v>
      </c>
      <c r="C2980" s="16">
        <v>30.2</v>
      </c>
      <c r="D2980" s="16">
        <f>E2979</f>
        <v>236640.59999999998</v>
      </c>
      <c r="E2980" s="19">
        <f>ROUND(C2980*D2980/100,2)</f>
        <v>71465.460000000006</v>
      </c>
    </row>
    <row r="2981" spans="1:6" ht="11.25" customHeight="1" x14ac:dyDescent="0.2">
      <c r="A2981" s="8" t="s">
        <v>51</v>
      </c>
      <c r="B2981" s="9" t="s">
        <v>52</v>
      </c>
      <c r="C2981" s="16"/>
      <c r="D2981" s="16"/>
      <c r="E2981" s="19">
        <f>E2979*0.3</f>
        <v>70992.179999999993</v>
      </c>
    </row>
    <row r="2982" spans="1:6" ht="11.25" customHeight="1" x14ac:dyDescent="0.2">
      <c r="A2982" s="8" t="s">
        <v>53</v>
      </c>
      <c r="B2982" s="9" t="s">
        <v>54</v>
      </c>
      <c r="C2982" s="16"/>
      <c r="D2982" s="16"/>
      <c r="E2982" s="19">
        <f>E2979*0.05</f>
        <v>11832.029999999999</v>
      </c>
    </row>
    <row r="2983" spans="1:6" ht="20.100000000000001" customHeight="1" x14ac:dyDescent="0.2">
      <c r="A2983" s="5">
        <v>2</v>
      </c>
      <c r="B2983" s="6" t="s">
        <v>57</v>
      </c>
      <c r="C2983" s="16"/>
      <c r="D2983" s="16"/>
      <c r="E2983" s="17">
        <f>E2984+E2986+E2987+E2988+E2989+E2990+E2985</f>
        <v>303923.94</v>
      </c>
    </row>
    <row r="2984" spans="1:6" ht="11.25" customHeight="1" x14ac:dyDescent="0.2">
      <c r="A2984" s="35" t="s">
        <v>58</v>
      </c>
      <c r="B2984" s="9" t="s">
        <v>204</v>
      </c>
      <c r="C2984" s="16">
        <v>272.60000000000002</v>
      </c>
      <c r="D2984" s="16">
        <f>E2984/C2984</f>
        <v>177.96999266324283</v>
      </c>
      <c r="E2984" s="19">
        <v>48514.62</v>
      </c>
    </row>
    <row r="2985" spans="1:6" ht="11.25" customHeight="1" x14ac:dyDescent="0.2">
      <c r="A2985" s="35" t="s">
        <v>60</v>
      </c>
      <c r="B2985" s="9" t="s">
        <v>195</v>
      </c>
      <c r="C2985" s="16">
        <v>272.60000000000002</v>
      </c>
      <c r="D2985" s="16">
        <f>E2985/C2985</f>
        <v>219.63341892883344</v>
      </c>
      <c r="E2985" s="19">
        <v>59872.07</v>
      </c>
    </row>
    <row r="2986" spans="1:6" ht="11.25" customHeight="1" x14ac:dyDescent="0.2">
      <c r="A2986" s="35" t="s">
        <v>62</v>
      </c>
      <c r="B2986" s="9" t="s">
        <v>196</v>
      </c>
      <c r="C2986" s="16">
        <v>86.48</v>
      </c>
      <c r="D2986" s="16">
        <f>E2986/C2986</f>
        <v>848.40124884366332</v>
      </c>
      <c r="E2986" s="19">
        <v>73369.740000000005</v>
      </c>
    </row>
    <row r="2987" spans="1:6" ht="11.25" customHeight="1" x14ac:dyDescent="0.2">
      <c r="A2987" s="35" t="s">
        <v>64</v>
      </c>
      <c r="B2987" s="9" t="s">
        <v>63</v>
      </c>
      <c r="C2987" s="16">
        <f>E2987/D2987</f>
        <v>15129.570383912249</v>
      </c>
      <c r="D2987" s="16">
        <v>5.47</v>
      </c>
      <c r="E2987" s="19">
        <f>82050-6073.94+6782.69</f>
        <v>82758.75</v>
      </c>
    </row>
    <row r="2988" spans="1:6" ht="11.25" customHeight="1" x14ac:dyDescent="0.2">
      <c r="A2988" s="35" t="s">
        <v>66</v>
      </c>
      <c r="B2988" s="9" t="s">
        <v>65</v>
      </c>
      <c r="C2988" s="16">
        <f>E2988/D2988</f>
        <v>557.46982821905738</v>
      </c>
      <c r="D2988" s="16">
        <v>68.11</v>
      </c>
      <c r="E2988" s="19">
        <v>37969.269999999997</v>
      </c>
    </row>
    <row r="2989" spans="1:6" ht="11.25" customHeight="1" x14ac:dyDescent="0.2">
      <c r="A2989" s="35" t="s">
        <v>68</v>
      </c>
      <c r="B2989" s="9" t="s">
        <v>69</v>
      </c>
      <c r="C2989" s="16">
        <v>429.7</v>
      </c>
      <c r="D2989" s="16">
        <f>E2989/C2989</f>
        <v>3.3499883639748664</v>
      </c>
      <c r="E2989" s="19">
        <v>1439.49</v>
      </c>
    </row>
    <row r="2990" spans="1:6" ht="11.25" customHeight="1" x14ac:dyDescent="0.2">
      <c r="A2990" s="35" t="s">
        <v>70</v>
      </c>
      <c r="B2990" s="9" t="s">
        <v>71</v>
      </c>
      <c r="C2990" s="16"/>
      <c r="D2990" s="16"/>
      <c r="E2990" s="19">
        <v>0</v>
      </c>
    </row>
    <row r="2991" spans="1:6" ht="20.100000000000001" customHeight="1" x14ac:dyDescent="0.2">
      <c r="A2991" s="5">
        <v>3</v>
      </c>
      <c r="B2991" s="6" t="s">
        <v>72</v>
      </c>
      <c r="C2991" s="16"/>
      <c r="D2991" s="16"/>
      <c r="E2991" s="17">
        <f>E2992+E2993+E2994+E2995+E2996+E2997+E2998+E2999+E3000+E3002+E3001</f>
        <v>177933.68988039979</v>
      </c>
    </row>
    <row r="2992" spans="1:6" ht="11.25" customHeight="1" x14ac:dyDescent="0.2">
      <c r="A2992" s="8" t="s">
        <v>73</v>
      </c>
      <c r="B2992" s="9" t="s">
        <v>74</v>
      </c>
      <c r="C2992" s="34">
        <v>2</v>
      </c>
      <c r="D2992" s="16">
        <f>E2992/C2992/12</f>
        <v>3648.7320833333338</v>
      </c>
      <c r="E2992" s="19">
        <v>87569.57</v>
      </c>
    </row>
    <row r="2993" spans="1:6" ht="11.25" customHeight="1" x14ac:dyDescent="0.2">
      <c r="A2993" s="8" t="s">
        <v>75</v>
      </c>
      <c r="B2993" s="9" t="s">
        <v>76</v>
      </c>
      <c r="C2993" s="34"/>
      <c r="D2993" s="16"/>
      <c r="E2993" s="19">
        <v>0</v>
      </c>
    </row>
    <row r="2994" spans="1:6" ht="11.25" customHeight="1" x14ac:dyDescent="0.2">
      <c r="A2994" s="8" t="s">
        <v>77</v>
      </c>
      <c r="B2994" s="9" t="s">
        <v>78</v>
      </c>
      <c r="C2994" s="34">
        <v>1</v>
      </c>
      <c r="D2994" s="16">
        <f>E2994/C2994/12</f>
        <v>928.83249999999998</v>
      </c>
      <c r="E2994" s="19">
        <v>11145.99</v>
      </c>
    </row>
    <row r="2995" spans="1:6" ht="11.25" customHeight="1" x14ac:dyDescent="0.2">
      <c r="A2995" s="8" t="s">
        <v>79</v>
      </c>
      <c r="B2995" s="9" t="s">
        <v>80</v>
      </c>
      <c r="C2995" s="16">
        <v>3578.2</v>
      </c>
      <c r="D2995" s="16">
        <f>E2995/C2995</f>
        <v>4.1891565591638251</v>
      </c>
      <c r="E2995" s="19">
        <v>14989.64</v>
      </c>
    </row>
    <row r="2996" spans="1:6" ht="11.25" customHeight="1" x14ac:dyDescent="0.2">
      <c r="A2996" s="8" t="s">
        <v>81</v>
      </c>
      <c r="B2996" s="9" t="s">
        <v>82</v>
      </c>
      <c r="C2996" s="34">
        <v>166</v>
      </c>
      <c r="D2996" s="16">
        <f>E2996/C2996</f>
        <v>68.524397590361446</v>
      </c>
      <c r="E2996" s="19">
        <v>11375.05</v>
      </c>
    </row>
    <row r="2997" spans="1:6" ht="11.25" customHeight="1" x14ac:dyDescent="0.2">
      <c r="A2997" s="8" t="s">
        <v>83</v>
      </c>
      <c r="B2997" s="9" t="s">
        <v>194</v>
      </c>
      <c r="C2997" s="34">
        <v>83</v>
      </c>
      <c r="D2997" s="16">
        <f>E2997/C2997</f>
        <v>87.93903614457831</v>
      </c>
      <c r="E2997" s="19">
        <v>7298.94</v>
      </c>
    </row>
    <row r="2998" spans="1:6" ht="11.25" customHeight="1" x14ac:dyDescent="0.2">
      <c r="A2998" s="8" t="s">
        <v>85</v>
      </c>
      <c r="B2998" s="9" t="s">
        <v>86</v>
      </c>
      <c r="C2998" s="34"/>
      <c r="D2998" s="16"/>
      <c r="E2998" s="19">
        <v>0</v>
      </c>
    </row>
    <row r="2999" spans="1:6" ht="11.25" customHeight="1" x14ac:dyDescent="0.2">
      <c r="A2999" s="8" t="s">
        <v>87</v>
      </c>
      <c r="B2999" s="9" t="s">
        <v>88</v>
      </c>
      <c r="C2999" s="34">
        <v>83</v>
      </c>
      <c r="D2999" s="16">
        <f>E2999/C2999</f>
        <v>482.11373493975907</v>
      </c>
      <c r="E2999" s="19">
        <v>40015.440000000002</v>
      </c>
    </row>
    <row r="3000" spans="1:6" ht="11.25" customHeight="1" x14ac:dyDescent="0.2">
      <c r="A3000" s="8" t="s">
        <v>89</v>
      </c>
      <c r="B3000" s="9" t="s">
        <v>90</v>
      </c>
      <c r="C3000" s="16"/>
      <c r="D3000" s="16"/>
      <c r="E3000" s="19">
        <v>0</v>
      </c>
    </row>
    <row r="3001" spans="1:6" ht="11.25" customHeight="1" x14ac:dyDescent="0.2">
      <c r="A3001" s="8" t="s">
        <v>91</v>
      </c>
      <c r="B3001" s="9" t="s">
        <v>202</v>
      </c>
      <c r="C3001" s="34">
        <v>2</v>
      </c>
      <c r="D3001" s="16">
        <f>E3001/C3001</f>
        <v>2769.5299401998955</v>
      </c>
      <c r="E3001" s="19">
        <f>2826.16*2*1.2*0.81663515754</f>
        <v>5539.0598803997909</v>
      </c>
    </row>
    <row r="3002" spans="1:6" ht="11.25" customHeight="1" x14ac:dyDescent="0.2">
      <c r="A3002" s="8" t="s">
        <v>203</v>
      </c>
      <c r="B3002" s="9" t="s">
        <v>92</v>
      </c>
      <c r="C3002" s="16"/>
      <c r="D3002" s="16"/>
      <c r="E3002" s="19">
        <v>0</v>
      </c>
    </row>
    <row r="3003" spans="1:6" ht="15" customHeight="1" x14ac:dyDescent="0.2">
      <c r="A3003" s="5">
        <v>4</v>
      </c>
      <c r="B3003" s="6" t="s">
        <v>193</v>
      </c>
      <c r="C3003" s="16"/>
      <c r="D3003" s="16"/>
      <c r="E3003" s="17">
        <f>F3004/1.09*0.09</f>
        <v>102957.61673394495</v>
      </c>
    </row>
    <row r="3004" spans="1:6" ht="18.75" customHeight="1" x14ac:dyDescent="0.2">
      <c r="A3004" s="10"/>
      <c r="B3004" s="11" t="s">
        <v>94</v>
      </c>
      <c r="C3004" s="21"/>
      <c r="D3004" s="21"/>
      <c r="E3004" s="17">
        <f>E2970+E2983+E2991+E3003</f>
        <v>1246931.1406143447</v>
      </c>
      <c r="F3004" s="25">
        <f>E2957*29.04*12</f>
        <v>1246931.1359999999</v>
      </c>
    </row>
    <row r="3005" spans="1:6" ht="15" customHeight="1" x14ac:dyDescent="0.25">
      <c r="A3005" s="10"/>
      <c r="B3005" s="11" t="s">
        <v>199</v>
      </c>
      <c r="C3005" s="21"/>
      <c r="D3005" s="21"/>
      <c r="E3005" s="22">
        <v>29.04</v>
      </c>
    </row>
    <row r="3006" spans="1:6" ht="10.95" customHeight="1" x14ac:dyDescent="0.2"/>
    <row r="3007" spans="1:6" ht="10.95" customHeight="1" x14ac:dyDescent="0.2"/>
    <row r="3008" spans="1:6" ht="10.95" customHeight="1" x14ac:dyDescent="0.2"/>
    <row r="3009" spans="1:5" ht="15" customHeight="1" x14ac:dyDescent="0.25">
      <c r="B3009" s="12" t="s">
        <v>96</v>
      </c>
    </row>
    <row r="3010" spans="1:5" ht="12" customHeight="1" x14ac:dyDescent="0.2"/>
    <row r="3011" spans="1:5" ht="13.2" customHeight="1" x14ac:dyDescent="0.25">
      <c r="B3011" s="3" t="s">
        <v>97</v>
      </c>
    </row>
    <row r="3012" spans="1:5" ht="7.95" customHeight="1" x14ac:dyDescent="0.2"/>
    <row r="3013" spans="1:5" ht="12" customHeight="1" x14ac:dyDescent="0.25">
      <c r="B3013" s="41" t="s">
        <v>100</v>
      </c>
      <c r="C3013" s="41"/>
      <c r="D3013" s="41"/>
      <c r="E3013" s="41"/>
    </row>
    <row r="3014" spans="1:5" ht="10.95" customHeight="1" x14ac:dyDescent="0.2"/>
    <row r="3015" spans="1:5" ht="10.95" customHeight="1" x14ac:dyDescent="0.2"/>
    <row r="3016" spans="1:5" ht="10.95" customHeight="1" x14ac:dyDescent="0.2"/>
    <row r="3017" spans="1:5" ht="16.2" customHeight="1" x14ac:dyDescent="0.2">
      <c r="A3017" s="39" t="s">
        <v>0</v>
      </c>
      <c r="B3017" s="39"/>
      <c r="C3017" s="39"/>
      <c r="D3017" s="39"/>
      <c r="E3017" s="39"/>
    </row>
    <row r="3018" spans="1:5" ht="10.95" customHeight="1" x14ac:dyDescent="0.2">
      <c r="A3018" s="40" t="s">
        <v>1</v>
      </c>
      <c r="B3018" s="40"/>
      <c r="C3018" s="40"/>
      <c r="D3018" s="40"/>
      <c r="E3018" s="40"/>
    </row>
    <row r="3019" spans="1:5" ht="13.2" customHeight="1" x14ac:dyDescent="0.2">
      <c r="A3019" s="40" t="s">
        <v>198</v>
      </c>
      <c r="B3019" s="40"/>
      <c r="C3019" s="40"/>
      <c r="D3019" s="40"/>
      <c r="E3019" s="40"/>
    </row>
    <row r="3020" spans="1:5" ht="10.95" customHeight="1" x14ac:dyDescent="0.2"/>
    <row r="3021" spans="1:5" ht="10.95" customHeight="1" x14ac:dyDescent="0.2">
      <c r="C3021" s="42" t="s">
        <v>3</v>
      </c>
      <c r="D3021" s="42"/>
      <c r="E3021" s="42"/>
    </row>
    <row r="3022" spans="1:5" ht="12" customHeight="1" x14ac:dyDescent="0.2">
      <c r="D3022" s="26" t="s">
        <v>4</v>
      </c>
      <c r="E3022" s="24">
        <v>12879.4</v>
      </c>
    </row>
    <row r="3023" spans="1:5" ht="12" customHeight="1" x14ac:dyDescent="0.2">
      <c r="D3023" s="26" t="s">
        <v>5</v>
      </c>
      <c r="E3023" s="23">
        <v>0</v>
      </c>
    </row>
    <row r="3024" spans="1:5" ht="12" customHeight="1" x14ac:dyDescent="0.2">
      <c r="D3024" s="26" t="s">
        <v>6</v>
      </c>
      <c r="E3024" s="30">
        <v>7</v>
      </c>
    </row>
    <row r="3025" spans="1:6" ht="12" customHeight="1" x14ac:dyDescent="0.2">
      <c r="D3025" s="26" t="s">
        <v>7</v>
      </c>
      <c r="E3025" s="30">
        <v>9</v>
      </c>
    </row>
    <row r="3026" spans="1:6" ht="12" customHeight="1" x14ac:dyDescent="0.2">
      <c r="D3026" s="26" t="s">
        <v>8</v>
      </c>
      <c r="E3026" s="30">
        <v>251</v>
      </c>
    </row>
    <row r="3027" spans="1:6" ht="12" customHeight="1" x14ac:dyDescent="0.2">
      <c r="D3027" s="26" t="s">
        <v>9</v>
      </c>
      <c r="E3027" s="30">
        <v>807</v>
      </c>
    </row>
    <row r="3028" spans="1:6" ht="12" customHeight="1" x14ac:dyDescent="0.2">
      <c r="D3028" s="26" t="s">
        <v>10</v>
      </c>
      <c r="E3028" s="30">
        <v>7</v>
      </c>
    </row>
    <row r="3029" spans="1:6" ht="12" customHeight="1" x14ac:dyDescent="0.2">
      <c r="D3029" s="26" t="s">
        <v>11</v>
      </c>
      <c r="E3029" s="30">
        <v>0</v>
      </c>
    </row>
    <row r="3030" spans="1:6" ht="12" customHeight="1" x14ac:dyDescent="0.2">
      <c r="D3030" s="26" t="s">
        <v>12</v>
      </c>
      <c r="E3030" s="30">
        <v>0</v>
      </c>
    </row>
    <row r="3031" spans="1:6" ht="12" customHeight="1" x14ac:dyDescent="0.2">
      <c r="D3031" s="26" t="s">
        <v>13</v>
      </c>
      <c r="E3031" s="30">
        <v>1269</v>
      </c>
    </row>
    <row r="3032" spans="1:6" ht="12" customHeight="1" x14ac:dyDescent="0.25">
      <c r="A3032" s="2" t="s">
        <v>14</v>
      </c>
      <c r="B3032" s="3" t="s">
        <v>192</v>
      </c>
    </row>
    <row r="3033" spans="1:6" ht="10.95" customHeight="1" x14ac:dyDescent="0.2"/>
    <row r="3034" spans="1:6" ht="45" customHeight="1" x14ac:dyDescent="0.2">
      <c r="A3034" s="4" t="s">
        <v>15</v>
      </c>
      <c r="B3034" s="4" t="s">
        <v>131</v>
      </c>
      <c r="C3034" s="27" t="s">
        <v>17</v>
      </c>
      <c r="D3034" s="27" t="s">
        <v>103</v>
      </c>
      <c r="E3034" s="27" t="s">
        <v>19</v>
      </c>
    </row>
    <row r="3035" spans="1:6" ht="31.5" customHeight="1" x14ac:dyDescent="0.2">
      <c r="A3035" s="5">
        <v>1</v>
      </c>
      <c r="B3035" s="6" t="s">
        <v>190</v>
      </c>
      <c r="C3035" s="16"/>
      <c r="D3035" s="16"/>
      <c r="E3035" s="17">
        <f>E3036+E3043</f>
        <v>2350999.5739999996</v>
      </c>
    </row>
    <row r="3036" spans="1:6" ht="15" customHeight="1" x14ac:dyDescent="0.2">
      <c r="A3036" s="7" t="s">
        <v>21</v>
      </c>
      <c r="B3036" s="6" t="s">
        <v>132</v>
      </c>
      <c r="C3036" s="16"/>
      <c r="D3036" s="16"/>
      <c r="E3036" s="17">
        <f>SUM(E3037:E3042)</f>
        <v>1055344.9579999999</v>
      </c>
    </row>
    <row r="3037" spans="1:6" ht="11.25" customHeight="1" x14ac:dyDescent="0.2">
      <c r="A3037" s="15" t="s">
        <v>23</v>
      </c>
      <c r="B3037" s="9" t="s">
        <v>34</v>
      </c>
      <c r="C3037" s="16">
        <v>1.45</v>
      </c>
      <c r="D3037" s="16">
        <v>18781</v>
      </c>
      <c r="E3037" s="19">
        <f>ROUND(C3037*D3037,2)*12</f>
        <v>326789.40000000002</v>
      </c>
      <c r="F3037" s="20"/>
    </row>
    <row r="3038" spans="1:6" ht="11.25" customHeight="1" x14ac:dyDescent="0.2">
      <c r="A3038" s="8" t="s">
        <v>31</v>
      </c>
      <c r="B3038" s="9" t="s">
        <v>36</v>
      </c>
      <c r="C3038" s="16">
        <v>1.89</v>
      </c>
      <c r="D3038" s="16">
        <v>18781</v>
      </c>
      <c r="E3038" s="19">
        <f>ROUND(C3038*D3038,2)*12</f>
        <v>425953.07999999996</v>
      </c>
    </row>
    <row r="3039" spans="1:6" ht="11.25" customHeight="1" x14ac:dyDescent="0.2">
      <c r="A3039" s="8" t="s">
        <v>121</v>
      </c>
      <c r="B3039" s="9" t="s">
        <v>38</v>
      </c>
      <c r="C3039" s="16">
        <v>30.2</v>
      </c>
      <c r="D3039" s="16">
        <f>E3037</f>
        <v>326789.40000000002</v>
      </c>
      <c r="E3039" s="19">
        <f>ROUND(C3039*D3039/100,2)</f>
        <v>98690.4</v>
      </c>
    </row>
    <row r="3040" spans="1:6" ht="11.25" customHeight="1" x14ac:dyDescent="0.2">
      <c r="A3040" s="8" t="s">
        <v>186</v>
      </c>
      <c r="B3040" s="9" t="s">
        <v>40</v>
      </c>
      <c r="C3040" s="16">
        <v>30.2</v>
      </c>
      <c r="D3040" s="16">
        <f>E3038</f>
        <v>425953.07999999996</v>
      </c>
      <c r="E3040" s="19">
        <f>ROUND(C3040*D3040/100,2)</f>
        <v>128637.83</v>
      </c>
    </row>
    <row r="3041" spans="1:6" ht="11.25" customHeight="1" x14ac:dyDescent="0.2">
      <c r="A3041" s="8" t="s">
        <v>187</v>
      </c>
      <c r="B3041" s="9" t="s">
        <v>42</v>
      </c>
      <c r="C3041" s="16"/>
      <c r="D3041" s="16"/>
      <c r="E3041" s="19">
        <f>E3037*0.1</f>
        <v>32678.940000000002</v>
      </c>
    </row>
    <row r="3042" spans="1:6" ht="11.25" customHeight="1" x14ac:dyDescent="0.2">
      <c r="A3042" s="8" t="s">
        <v>188</v>
      </c>
      <c r="B3042" s="9" t="s">
        <v>44</v>
      </c>
      <c r="C3042" s="16"/>
      <c r="D3042" s="16"/>
      <c r="E3042" s="19">
        <f>E3038*0.1</f>
        <v>42595.307999999997</v>
      </c>
    </row>
    <row r="3043" spans="1:6" ht="15" customHeight="1" x14ac:dyDescent="0.2">
      <c r="A3043" s="7" t="s">
        <v>45</v>
      </c>
      <c r="B3043" s="6" t="s">
        <v>189</v>
      </c>
      <c r="C3043" s="16"/>
      <c r="D3043" s="16"/>
      <c r="E3043" s="17">
        <f>E3044+E3045+E3046+E3047</f>
        <v>1295654.6159999997</v>
      </c>
    </row>
    <row r="3044" spans="1:6" ht="11.25" customHeight="1" x14ac:dyDescent="0.2">
      <c r="A3044" s="8" t="s">
        <v>47</v>
      </c>
      <c r="B3044" s="9" t="s">
        <v>48</v>
      </c>
      <c r="C3044" s="16">
        <v>3.48</v>
      </c>
      <c r="D3044" s="16">
        <v>18781</v>
      </c>
      <c r="E3044" s="19">
        <f>C3044*D3044*12</f>
        <v>784294.55999999994</v>
      </c>
      <c r="F3044" s="20"/>
    </row>
    <row r="3045" spans="1:6" ht="11.25" customHeight="1" x14ac:dyDescent="0.2">
      <c r="A3045" s="8" t="s">
        <v>49</v>
      </c>
      <c r="B3045" s="9" t="s">
        <v>50</v>
      </c>
      <c r="C3045" s="16">
        <v>30.2</v>
      </c>
      <c r="D3045" s="16">
        <f>E3044</f>
        <v>784294.55999999994</v>
      </c>
      <c r="E3045" s="19">
        <f>ROUND(C3045*D3045/100,2)</f>
        <v>236856.95999999999</v>
      </c>
    </row>
    <row r="3046" spans="1:6" ht="11.25" customHeight="1" x14ac:dyDescent="0.2">
      <c r="A3046" s="8" t="s">
        <v>51</v>
      </c>
      <c r="B3046" s="9" t="s">
        <v>52</v>
      </c>
      <c r="C3046" s="16"/>
      <c r="D3046" s="16"/>
      <c r="E3046" s="19">
        <f>E3044*0.3</f>
        <v>235288.36799999999</v>
      </c>
    </row>
    <row r="3047" spans="1:6" ht="11.25" customHeight="1" x14ac:dyDescent="0.2">
      <c r="A3047" s="8" t="s">
        <v>53</v>
      </c>
      <c r="B3047" s="9" t="s">
        <v>54</v>
      </c>
      <c r="C3047" s="16"/>
      <c r="D3047" s="16"/>
      <c r="E3047" s="19">
        <f>E3044*0.05</f>
        <v>39214.727999999996</v>
      </c>
    </row>
    <row r="3048" spans="1:6" ht="20.100000000000001" customHeight="1" x14ac:dyDescent="0.2">
      <c r="A3048" s="5">
        <v>2</v>
      </c>
      <c r="B3048" s="6" t="s">
        <v>57</v>
      </c>
      <c r="C3048" s="16"/>
      <c r="D3048" s="16"/>
      <c r="E3048" s="17">
        <f>E3049+E3051+E3052+E3053+E3054+E3055+E3050</f>
        <v>1206492.29</v>
      </c>
    </row>
    <row r="3049" spans="1:6" ht="11.25" customHeight="1" x14ac:dyDescent="0.2">
      <c r="A3049" s="35" t="s">
        <v>58</v>
      </c>
      <c r="B3049" s="9" t="s">
        <v>204</v>
      </c>
      <c r="C3049" s="16">
        <v>1170.1500000000001</v>
      </c>
      <c r="D3049" s="16">
        <f>E3049/C3049</f>
        <v>177.97000384566081</v>
      </c>
      <c r="E3049" s="19">
        <v>208251.6</v>
      </c>
    </row>
    <row r="3050" spans="1:6" ht="11.25" customHeight="1" x14ac:dyDescent="0.2">
      <c r="A3050" s="35" t="s">
        <v>60</v>
      </c>
      <c r="B3050" s="9" t="s">
        <v>195</v>
      </c>
      <c r="C3050" s="16">
        <v>1170.1500000000001</v>
      </c>
      <c r="D3050" s="16">
        <f>E3050/C3050</f>
        <v>219.63343161133187</v>
      </c>
      <c r="E3050" s="19">
        <v>257004.06</v>
      </c>
    </row>
    <row r="3051" spans="1:6" ht="11.25" customHeight="1" x14ac:dyDescent="0.2">
      <c r="A3051" s="35" t="s">
        <v>62</v>
      </c>
      <c r="B3051" s="9" t="s">
        <v>196</v>
      </c>
      <c r="C3051" s="16">
        <v>371.22</v>
      </c>
      <c r="D3051" s="16">
        <f>E3051/C3051</f>
        <v>848.4012445450137</v>
      </c>
      <c r="E3051" s="19">
        <v>314943.51</v>
      </c>
    </row>
    <row r="3052" spans="1:6" ht="11.25" customHeight="1" x14ac:dyDescent="0.2">
      <c r="A3052" s="35" t="s">
        <v>64</v>
      </c>
      <c r="B3052" s="9" t="s">
        <v>63</v>
      </c>
      <c r="C3052" s="16">
        <f>E3052/D3052</f>
        <v>46428.063985374771</v>
      </c>
      <c r="D3052" s="16">
        <v>5.47</v>
      </c>
      <c r="E3052" s="19">
        <f>251620+15711.16-13369.65</f>
        <v>253961.50999999998</v>
      </c>
      <c r="F3052" s="20"/>
    </row>
    <row r="3053" spans="1:6" ht="11.25" customHeight="1" x14ac:dyDescent="0.2">
      <c r="A3053" s="35" t="s">
        <v>66</v>
      </c>
      <c r="B3053" s="9" t="s">
        <v>65</v>
      </c>
      <c r="C3053" s="16">
        <f>E3053/D3053</f>
        <v>1976.8260167376302</v>
      </c>
      <c r="D3053" s="16">
        <v>68.11</v>
      </c>
      <c r="E3053" s="19">
        <v>134641.62</v>
      </c>
    </row>
    <row r="3054" spans="1:6" ht="11.25" customHeight="1" x14ac:dyDescent="0.2">
      <c r="A3054" s="35" t="s">
        <v>68</v>
      </c>
      <c r="B3054" s="9" t="s">
        <v>69</v>
      </c>
      <c r="C3054" s="16">
        <v>1950.4</v>
      </c>
      <c r="D3054" s="16">
        <f>E3054/C3054</f>
        <v>3.35</v>
      </c>
      <c r="E3054" s="19">
        <v>6533.84</v>
      </c>
    </row>
    <row r="3055" spans="1:6" ht="11.25" customHeight="1" x14ac:dyDescent="0.2">
      <c r="A3055" s="35" t="s">
        <v>70</v>
      </c>
      <c r="B3055" s="9" t="s">
        <v>71</v>
      </c>
      <c r="C3055" s="16">
        <v>165.69</v>
      </c>
      <c r="D3055" s="16">
        <f>E3055/C3055</f>
        <v>188.03880741143101</v>
      </c>
      <c r="E3055" s="19">
        <v>31156.15</v>
      </c>
    </row>
    <row r="3056" spans="1:6" ht="20.100000000000001" customHeight="1" x14ac:dyDescent="0.2">
      <c r="A3056" s="5">
        <v>3</v>
      </c>
      <c r="B3056" s="6" t="s">
        <v>72</v>
      </c>
      <c r="C3056" s="16"/>
      <c r="D3056" s="16"/>
      <c r="E3056" s="17">
        <f>E3057+E3058+E3059+E3060+E3061+E3062+E3063+E3064+E3065+E3067+E3066</f>
        <v>522702.05570099945</v>
      </c>
    </row>
    <row r="3057" spans="1:6" ht="11.25" customHeight="1" x14ac:dyDescent="0.2">
      <c r="A3057" s="8" t="s">
        <v>73</v>
      </c>
      <c r="B3057" s="9" t="s">
        <v>74</v>
      </c>
      <c r="C3057" s="34">
        <v>7</v>
      </c>
      <c r="D3057" s="16">
        <f>E3057/C3057/12</f>
        <v>3064.0079761904763</v>
      </c>
      <c r="E3057" s="19">
        <v>257376.67</v>
      </c>
    </row>
    <row r="3058" spans="1:6" ht="11.25" customHeight="1" x14ac:dyDescent="0.2">
      <c r="A3058" s="8" t="s">
        <v>75</v>
      </c>
      <c r="B3058" s="9" t="s">
        <v>76</v>
      </c>
      <c r="C3058" s="16"/>
      <c r="D3058" s="16"/>
      <c r="E3058" s="19">
        <v>0</v>
      </c>
    </row>
    <row r="3059" spans="1:6" ht="11.25" customHeight="1" x14ac:dyDescent="0.2">
      <c r="A3059" s="8" t="s">
        <v>77</v>
      </c>
      <c r="B3059" s="9" t="s">
        <v>78</v>
      </c>
      <c r="C3059" s="16"/>
      <c r="D3059" s="16"/>
      <c r="E3059" s="19">
        <v>0</v>
      </c>
    </row>
    <row r="3060" spans="1:6" ht="11.25" customHeight="1" x14ac:dyDescent="0.2">
      <c r="A3060" s="8" t="s">
        <v>79</v>
      </c>
      <c r="B3060" s="9" t="s">
        <v>80</v>
      </c>
      <c r="C3060" s="16">
        <v>12879.4</v>
      </c>
      <c r="D3060" s="16">
        <f>E3060/C3060</f>
        <v>4.1501661568085471</v>
      </c>
      <c r="E3060" s="19">
        <v>53451.65</v>
      </c>
    </row>
    <row r="3061" spans="1:6" ht="11.25" customHeight="1" x14ac:dyDescent="0.2">
      <c r="A3061" s="8" t="s">
        <v>81</v>
      </c>
      <c r="B3061" s="9" t="s">
        <v>82</v>
      </c>
      <c r="C3061" s="34">
        <v>502</v>
      </c>
      <c r="D3061" s="16">
        <f>E3061/C3061</f>
        <v>71.702729083665332</v>
      </c>
      <c r="E3061" s="19">
        <v>35994.769999999997</v>
      </c>
    </row>
    <row r="3062" spans="1:6" ht="11.25" customHeight="1" x14ac:dyDescent="0.2">
      <c r="A3062" s="8" t="s">
        <v>83</v>
      </c>
      <c r="B3062" s="9" t="s">
        <v>194</v>
      </c>
      <c r="C3062" s="34">
        <v>251</v>
      </c>
      <c r="D3062" s="16">
        <f>E3062/C3062</f>
        <v>86.426215139442235</v>
      </c>
      <c r="E3062" s="19">
        <v>21692.98</v>
      </c>
    </row>
    <row r="3063" spans="1:6" ht="11.25" customHeight="1" x14ac:dyDescent="0.2">
      <c r="A3063" s="8" t="s">
        <v>85</v>
      </c>
      <c r="B3063" s="9" t="s">
        <v>86</v>
      </c>
      <c r="C3063" s="34"/>
      <c r="D3063" s="16"/>
      <c r="E3063" s="19">
        <v>0</v>
      </c>
    </row>
    <row r="3064" spans="1:6" ht="11.25" customHeight="1" x14ac:dyDescent="0.2">
      <c r="A3064" s="8" t="s">
        <v>87</v>
      </c>
      <c r="B3064" s="9" t="s">
        <v>88</v>
      </c>
      <c r="C3064" s="34">
        <v>251</v>
      </c>
      <c r="D3064" s="16">
        <f>E3064/C3064</f>
        <v>542.16350597609562</v>
      </c>
      <c r="E3064" s="19">
        <v>136083.04</v>
      </c>
    </row>
    <row r="3065" spans="1:6" ht="11.25" customHeight="1" x14ac:dyDescent="0.2">
      <c r="A3065" s="8" t="s">
        <v>89</v>
      </c>
      <c r="B3065" s="9" t="s">
        <v>90</v>
      </c>
      <c r="C3065" s="16"/>
      <c r="D3065" s="16"/>
      <c r="E3065" s="19">
        <v>0</v>
      </c>
    </row>
    <row r="3066" spans="1:6" ht="11.25" customHeight="1" x14ac:dyDescent="0.2">
      <c r="A3066" s="8" t="s">
        <v>91</v>
      </c>
      <c r="B3066" s="9" t="s">
        <v>202</v>
      </c>
      <c r="C3066" s="34">
        <v>7</v>
      </c>
      <c r="D3066" s="16">
        <f>E3066/C3066</f>
        <v>2586.1351001427824</v>
      </c>
      <c r="E3066" s="19">
        <f>1773.04*2*1.2+2826.16*5*1.2*0.81663515754</f>
        <v>18102.945700999477</v>
      </c>
    </row>
    <row r="3067" spans="1:6" ht="11.25" customHeight="1" x14ac:dyDescent="0.2">
      <c r="A3067" s="8" t="s">
        <v>203</v>
      </c>
      <c r="B3067" s="9" t="s">
        <v>92</v>
      </c>
      <c r="C3067" s="16"/>
      <c r="D3067" s="16"/>
      <c r="E3067" s="19">
        <v>0</v>
      </c>
    </row>
    <row r="3068" spans="1:6" ht="15" customHeight="1" x14ac:dyDescent="0.2">
      <c r="A3068" s="5">
        <v>4</v>
      </c>
      <c r="B3068" s="6" t="s">
        <v>193</v>
      </c>
      <c r="C3068" s="16"/>
      <c r="D3068" s="16"/>
      <c r="E3068" s="17">
        <f>ROUND(F3069/1.1*0.1,2)</f>
        <v>408019.39</v>
      </c>
    </row>
    <row r="3069" spans="1:6" ht="18.75" customHeight="1" x14ac:dyDescent="0.2">
      <c r="A3069" s="10"/>
      <c r="B3069" s="11" t="s">
        <v>94</v>
      </c>
      <c r="C3069" s="21"/>
      <c r="D3069" s="21"/>
      <c r="E3069" s="17">
        <f>E3035+E3048+E3056+E3068</f>
        <v>4488213.3097009985</v>
      </c>
      <c r="F3069" s="25">
        <f>E3022*29.04*12</f>
        <v>4488213.311999999</v>
      </c>
    </row>
    <row r="3070" spans="1:6" ht="15" customHeight="1" x14ac:dyDescent="0.25">
      <c r="A3070" s="10"/>
      <c r="B3070" s="11" t="s">
        <v>199</v>
      </c>
      <c r="C3070" s="21"/>
      <c r="D3070" s="21"/>
      <c r="E3070" s="22">
        <v>29.04</v>
      </c>
    </row>
    <row r="3071" spans="1:6" ht="10.95" customHeight="1" x14ac:dyDescent="0.2"/>
    <row r="3072" spans="1:6" ht="10.95" customHeight="1" x14ac:dyDescent="0.2"/>
    <row r="3073" spans="1:5" ht="10.95" customHeight="1" x14ac:dyDescent="0.2"/>
    <row r="3074" spans="1:5" ht="15" customHeight="1" x14ac:dyDescent="0.25">
      <c r="B3074" s="12" t="s">
        <v>96</v>
      </c>
    </row>
    <row r="3075" spans="1:5" ht="12" customHeight="1" x14ac:dyDescent="0.2"/>
    <row r="3076" spans="1:5" ht="13.2" customHeight="1" x14ac:dyDescent="0.25">
      <c r="B3076" s="3" t="s">
        <v>97</v>
      </c>
    </row>
    <row r="3077" spans="1:5" ht="7.95" customHeight="1" x14ac:dyDescent="0.2"/>
    <row r="3078" spans="1:5" ht="12" customHeight="1" x14ac:dyDescent="0.25">
      <c r="B3078" s="41" t="s">
        <v>100</v>
      </c>
      <c r="C3078" s="41"/>
      <c r="D3078" s="41"/>
      <c r="E3078" s="41"/>
    </row>
    <row r="3079" spans="1:5" ht="10.95" customHeight="1" x14ac:dyDescent="0.2"/>
    <row r="3080" spans="1:5" ht="10.95" customHeight="1" x14ac:dyDescent="0.2"/>
    <row r="3081" spans="1:5" ht="10.95" customHeight="1" x14ac:dyDescent="0.2"/>
    <row r="3082" spans="1:5" ht="16.2" customHeight="1" x14ac:dyDescent="0.2">
      <c r="A3082" s="39" t="s">
        <v>0</v>
      </c>
      <c r="B3082" s="39"/>
      <c r="C3082" s="39"/>
      <c r="D3082" s="39"/>
      <c r="E3082" s="39"/>
    </row>
    <row r="3083" spans="1:5" ht="10.95" customHeight="1" x14ac:dyDescent="0.2">
      <c r="A3083" s="40" t="s">
        <v>1</v>
      </c>
      <c r="B3083" s="40"/>
      <c r="C3083" s="40"/>
      <c r="D3083" s="40"/>
      <c r="E3083" s="40"/>
    </row>
    <row r="3084" spans="1:5" ht="13.2" customHeight="1" x14ac:dyDescent="0.2">
      <c r="A3084" s="40" t="s">
        <v>198</v>
      </c>
      <c r="B3084" s="40"/>
      <c r="C3084" s="40"/>
      <c r="D3084" s="40"/>
      <c r="E3084" s="40"/>
    </row>
    <row r="3085" spans="1:5" ht="10.95" customHeight="1" x14ac:dyDescent="0.2"/>
    <row r="3086" spans="1:5" ht="10.95" customHeight="1" x14ac:dyDescent="0.2">
      <c r="C3086" s="42" t="s">
        <v>3</v>
      </c>
      <c r="D3086" s="42"/>
      <c r="E3086" s="42"/>
    </row>
    <row r="3087" spans="1:5" ht="12" customHeight="1" x14ac:dyDescent="0.2">
      <c r="D3087" s="26" t="s">
        <v>4</v>
      </c>
      <c r="E3087" s="24">
        <v>13002.5</v>
      </c>
    </row>
    <row r="3088" spans="1:5" ht="12" customHeight="1" x14ac:dyDescent="0.2">
      <c r="D3088" s="26" t="s">
        <v>5</v>
      </c>
      <c r="E3088" s="23">
        <v>0</v>
      </c>
    </row>
    <row r="3089" spans="1:6" ht="12" customHeight="1" x14ac:dyDescent="0.2">
      <c r="D3089" s="26" t="s">
        <v>6</v>
      </c>
      <c r="E3089" s="30">
        <v>7</v>
      </c>
    </row>
    <row r="3090" spans="1:6" ht="12" customHeight="1" x14ac:dyDescent="0.2">
      <c r="D3090" s="26" t="s">
        <v>7</v>
      </c>
      <c r="E3090" s="30">
        <v>9</v>
      </c>
    </row>
    <row r="3091" spans="1:6" ht="12" customHeight="1" x14ac:dyDescent="0.2">
      <c r="D3091" s="26" t="s">
        <v>8</v>
      </c>
      <c r="E3091" s="30">
        <v>251</v>
      </c>
    </row>
    <row r="3092" spans="1:6" ht="12" customHeight="1" x14ac:dyDescent="0.2">
      <c r="D3092" s="26" t="s">
        <v>9</v>
      </c>
      <c r="E3092" s="30">
        <v>661</v>
      </c>
    </row>
    <row r="3093" spans="1:6" ht="12" customHeight="1" x14ac:dyDescent="0.2">
      <c r="D3093" s="26" t="s">
        <v>10</v>
      </c>
      <c r="E3093" s="30">
        <v>7</v>
      </c>
    </row>
    <row r="3094" spans="1:6" ht="12" customHeight="1" x14ac:dyDescent="0.2">
      <c r="D3094" s="26" t="s">
        <v>11</v>
      </c>
      <c r="E3094" s="30">
        <v>0</v>
      </c>
    </row>
    <row r="3095" spans="1:6" ht="12" customHeight="1" x14ac:dyDescent="0.2">
      <c r="D3095" s="26" t="s">
        <v>12</v>
      </c>
      <c r="E3095" s="30">
        <v>0</v>
      </c>
    </row>
    <row r="3096" spans="1:6" ht="12" customHeight="1" x14ac:dyDescent="0.2">
      <c r="D3096" s="26" t="s">
        <v>13</v>
      </c>
      <c r="E3096" s="30">
        <v>1382</v>
      </c>
    </row>
    <row r="3097" spans="1:6" ht="12" customHeight="1" x14ac:dyDescent="0.25">
      <c r="A3097" s="2" t="s">
        <v>14</v>
      </c>
      <c r="B3097" s="3" t="s">
        <v>166</v>
      </c>
    </row>
    <row r="3098" spans="1:6" ht="10.95" customHeight="1" x14ac:dyDescent="0.2"/>
    <row r="3099" spans="1:6" ht="45" customHeight="1" x14ac:dyDescent="0.2">
      <c r="A3099" s="4" t="s">
        <v>15</v>
      </c>
      <c r="B3099" s="4" t="s">
        <v>131</v>
      </c>
      <c r="C3099" s="27" t="s">
        <v>17</v>
      </c>
      <c r="D3099" s="27" t="s">
        <v>103</v>
      </c>
      <c r="E3099" s="27" t="s">
        <v>19</v>
      </c>
    </row>
    <row r="3100" spans="1:6" ht="31.5" customHeight="1" x14ac:dyDescent="0.2">
      <c r="A3100" s="5">
        <v>1</v>
      </c>
      <c r="B3100" s="6" t="s">
        <v>190</v>
      </c>
      <c r="C3100" s="16"/>
      <c r="D3100" s="16"/>
      <c r="E3100" s="17">
        <f>E3101+E3108</f>
        <v>2454026.1260000002</v>
      </c>
    </row>
    <row r="3101" spans="1:6" ht="15" customHeight="1" x14ac:dyDescent="0.2">
      <c r="A3101" s="7" t="s">
        <v>21</v>
      </c>
      <c r="B3101" s="6" t="s">
        <v>132</v>
      </c>
      <c r="C3101" s="16"/>
      <c r="D3101" s="16"/>
      <c r="E3101" s="17">
        <f>SUM(E3102:E3107)</f>
        <v>988990.92599999998</v>
      </c>
    </row>
    <row r="3102" spans="1:6" ht="11.25" customHeight="1" x14ac:dyDescent="0.2">
      <c r="A3102" s="15" t="s">
        <v>23</v>
      </c>
      <c r="B3102" s="9" t="s">
        <v>34</v>
      </c>
      <c r="C3102" s="16">
        <v>1.58</v>
      </c>
      <c r="D3102" s="16">
        <v>18781</v>
      </c>
      <c r="E3102" s="19">
        <f>ROUND(C3102*D3102,2)*12</f>
        <v>356087.76</v>
      </c>
      <c r="F3102" s="20"/>
    </row>
    <row r="3103" spans="1:6" ht="11.25" customHeight="1" x14ac:dyDescent="0.2">
      <c r="A3103" s="8" t="s">
        <v>31</v>
      </c>
      <c r="B3103" s="9" t="s">
        <v>36</v>
      </c>
      <c r="C3103" s="16">
        <v>1.55</v>
      </c>
      <c r="D3103" s="16">
        <v>18781</v>
      </c>
      <c r="E3103" s="19">
        <f>ROUND(C3103*D3103,2)*12</f>
        <v>349326.6</v>
      </c>
    </row>
    <row r="3104" spans="1:6" ht="11.25" customHeight="1" x14ac:dyDescent="0.2">
      <c r="A3104" s="8" t="s">
        <v>121</v>
      </c>
      <c r="B3104" s="9" t="s">
        <v>38</v>
      </c>
      <c r="C3104" s="16">
        <v>30.2</v>
      </c>
      <c r="D3104" s="16">
        <f>E3102</f>
        <v>356087.76</v>
      </c>
      <c r="E3104" s="19">
        <f>ROUND(C3104*D3104/100,2)</f>
        <v>107538.5</v>
      </c>
    </row>
    <row r="3105" spans="1:6" ht="11.25" customHeight="1" x14ac:dyDescent="0.2">
      <c r="A3105" s="8" t="s">
        <v>186</v>
      </c>
      <c r="B3105" s="9" t="s">
        <v>40</v>
      </c>
      <c r="C3105" s="16">
        <v>30.2</v>
      </c>
      <c r="D3105" s="16">
        <f>E3103</f>
        <v>349326.6</v>
      </c>
      <c r="E3105" s="19">
        <f>ROUND(C3105*D3105/100,2)</f>
        <v>105496.63</v>
      </c>
    </row>
    <row r="3106" spans="1:6" ht="11.25" customHeight="1" x14ac:dyDescent="0.2">
      <c r="A3106" s="8" t="s">
        <v>187</v>
      </c>
      <c r="B3106" s="9" t="s">
        <v>42</v>
      </c>
      <c r="C3106" s="16"/>
      <c r="D3106" s="16"/>
      <c r="E3106" s="19">
        <f>E3102*0.1</f>
        <v>35608.776000000005</v>
      </c>
    </row>
    <row r="3107" spans="1:6" ht="11.25" customHeight="1" x14ac:dyDescent="0.2">
      <c r="A3107" s="8" t="s">
        <v>188</v>
      </c>
      <c r="B3107" s="9" t="s">
        <v>44</v>
      </c>
      <c r="C3107" s="16"/>
      <c r="D3107" s="16"/>
      <c r="E3107" s="19">
        <f>ROUND(E3103*0.1,2)</f>
        <v>34932.660000000003</v>
      </c>
    </row>
    <row r="3108" spans="1:6" ht="15" customHeight="1" x14ac:dyDescent="0.2">
      <c r="A3108" s="7" t="s">
        <v>45</v>
      </c>
      <c r="B3108" s="6" t="s">
        <v>189</v>
      </c>
      <c r="C3108" s="16"/>
      <c r="D3108" s="16"/>
      <c r="E3108" s="17">
        <f>E3109+E3110+E3111+E3112</f>
        <v>1465035.2</v>
      </c>
    </row>
    <row r="3109" spans="1:6" ht="11.25" customHeight="1" x14ac:dyDescent="0.2">
      <c r="A3109" s="8" t="s">
        <v>47</v>
      </c>
      <c r="B3109" s="9" t="s">
        <v>48</v>
      </c>
      <c r="C3109" s="16">
        <v>3.51</v>
      </c>
      <c r="D3109" s="16">
        <v>18781</v>
      </c>
      <c r="E3109" s="19">
        <f>C3109*D3109*12</f>
        <v>791055.72</v>
      </c>
      <c r="F3109" s="20"/>
    </row>
    <row r="3110" spans="1:6" ht="11.25" customHeight="1" x14ac:dyDescent="0.2">
      <c r="A3110" s="8" t="s">
        <v>49</v>
      </c>
      <c r="B3110" s="9" t="s">
        <v>50</v>
      </c>
      <c r="C3110" s="16">
        <v>30.2</v>
      </c>
      <c r="D3110" s="16">
        <f>E3109</f>
        <v>791055.72</v>
      </c>
      <c r="E3110" s="19">
        <f>ROUND(C3110*D3110/100,2)</f>
        <v>238898.83</v>
      </c>
    </row>
    <row r="3111" spans="1:6" ht="11.25" customHeight="1" x14ac:dyDescent="0.2">
      <c r="A3111" s="8" t="s">
        <v>51</v>
      </c>
      <c r="B3111" s="9" t="s">
        <v>52</v>
      </c>
      <c r="C3111" s="16"/>
      <c r="D3111" s="16"/>
      <c r="E3111" s="19">
        <f>E3109*0.5</f>
        <v>395527.86</v>
      </c>
    </row>
    <row r="3112" spans="1:6" ht="11.25" customHeight="1" x14ac:dyDescent="0.2">
      <c r="A3112" s="8" t="s">
        <v>53</v>
      </c>
      <c r="B3112" s="9" t="s">
        <v>54</v>
      </c>
      <c r="C3112" s="16"/>
      <c r="D3112" s="16"/>
      <c r="E3112" s="19">
        <f>ROUND(E3109*0.05,2)</f>
        <v>39552.79</v>
      </c>
    </row>
    <row r="3113" spans="1:6" ht="20.100000000000001" customHeight="1" x14ac:dyDescent="0.2">
      <c r="A3113" s="5">
        <v>2</v>
      </c>
      <c r="B3113" s="6" t="s">
        <v>57</v>
      </c>
      <c r="C3113" s="16"/>
      <c r="D3113" s="16"/>
      <c r="E3113" s="17">
        <f>E3114+E3116+E3117+E3118+E3119+E3120+E3115</f>
        <v>1139934.03</v>
      </c>
    </row>
    <row r="3114" spans="1:6" ht="11.25" customHeight="1" x14ac:dyDescent="0.2">
      <c r="A3114" s="35" t="s">
        <v>58</v>
      </c>
      <c r="B3114" s="9" t="s">
        <v>204</v>
      </c>
      <c r="C3114" s="16">
        <v>958.45</v>
      </c>
      <c r="D3114" s="16">
        <f>E3114/C3114</f>
        <v>177.97000365172934</v>
      </c>
      <c r="E3114" s="19">
        <v>170575.35</v>
      </c>
    </row>
    <row r="3115" spans="1:6" ht="11.25" customHeight="1" x14ac:dyDescent="0.2">
      <c r="A3115" s="35" t="s">
        <v>60</v>
      </c>
      <c r="B3115" s="9" t="s">
        <v>195</v>
      </c>
      <c r="C3115" s="16">
        <v>958.45</v>
      </c>
      <c r="D3115" s="16">
        <f>E3115/C3115</f>
        <v>219.6334394073765</v>
      </c>
      <c r="E3115" s="19">
        <v>210507.67</v>
      </c>
    </row>
    <row r="3116" spans="1:6" ht="11.25" customHeight="1" x14ac:dyDescent="0.2">
      <c r="A3116" s="35" t="s">
        <v>62</v>
      </c>
      <c r="B3116" s="9" t="s">
        <v>196</v>
      </c>
      <c r="C3116" s="16">
        <v>304.06</v>
      </c>
      <c r="D3116" s="16">
        <f>E3116/C3116</f>
        <v>848.40123659803987</v>
      </c>
      <c r="E3116" s="19">
        <v>257964.88</v>
      </c>
    </row>
    <row r="3117" spans="1:6" ht="11.25" customHeight="1" x14ac:dyDescent="0.2">
      <c r="A3117" s="35" t="s">
        <v>64</v>
      </c>
      <c r="B3117" s="9" t="s">
        <v>63</v>
      </c>
      <c r="C3117" s="16">
        <f>E3117/D3117</f>
        <v>60436.468007312615</v>
      </c>
      <c r="D3117" s="16">
        <v>5.47</v>
      </c>
      <c r="E3117" s="19">
        <f>306320+24267.48</f>
        <v>330587.48</v>
      </c>
    </row>
    <row r="3118" spans="1:6" ht="11.25" customHeight="1" x14ac:dyDescent="0.2">
      <c r="A3118" s="35" t="s">
        <v>66</v>
      </c>
      <c r="B3118" s="9" t="s">
        <v>65</v>
      </c>
      <c r="C3118" s="16">
        <f>E3118/D3118</f>
        <v>1948.0205549845841</v>
      </c>
      <c r="D3118" s="16">
        <v>68.11</v>
      </c>
      <c r="E3118" s="19">
        <f>131240.79+1438.89</f>
        <v>132679.68000000002</v>
      </c>
      <c r="F3118" s="20"/>
    </row>
    <row r="3119" spans="1:6" ht="11.25" customHeight="1" x14ac:dyDescent="0.2">
      <c r="A3119" s="35" t="s">
        <v>68</v>
      </c>
      <c r="B3119" s="9" t="s">
        <v>69</v>
      </c>
      <c r="C3119" s="16">
        <v>1929.2</v>
      </c>
      <c r="D3119" s="16">
        <f>E3119/C3119</f>
        <v>3.3499999999999996</v>
      </c>
      <c r="E3119" s="19">
        <v>6462.82</v>
      </c>
    </row>
    <row r="3120" spans="1:6" ht="11.25" customHeight="1" x14ac:dyDescent="0.2">
      <c r="A3120" s="35" t="s">
        <v>70</v>
      </c>
      <c r="B3120" s="9" t="s">
        <v>71</v>
      </c>
      <c r="C3120" s="16">
        <v>165.69</v>
      </c>
      <c r="D3120" s="16">
        <f>E3120/C3120</f>
        <v>188.03880741143101</v>
      </c>
      <c r="E3120" s="19">
        <v>31156.15</v>
      </c>
    </row>
    <row r="3121" spans="1:6" ht="20.100000000000001" customHeight="1" x14ac:dyDescent="0.2">
      <c r="A3121" s="5">
        <v>3</v>
      </c>
      <c r="B3121" s="6" t="s">
        <v>72</v>
      </c>
      <c r="C3121" s="16"/>
      <c r="D3121" s="16"/>
      <c r="E3121" s="17">
        <f>E3122+E3123+E3124+E3125+E3126+E3127+E3128+E3129+E3130+E3132+E3131</f>
        <v>525231.83958139922</v>
      </c>
    </row>
    <row r="3122" spans="1:6" ht="11.25" customHeight="1" x14ac:dyDescent="0.2">
      <c r="A3122" s="8" t="s">
        <v>73</v>
      </c>
      <c r="B3122" s="9" t="s">
        <v>74</v>
      </c>
      <c r="C3122" s="34">
        <v>7</v>
      </c>
      <c r="D3122" s="16">
        <f>E3122/C3122/12</f>
        <v>3064.0079761904763</v>
      </c>
      <c r="E3122" s="19">
        <v>257376.67</v>
      </c>
    </row>
    <row r="3123" spans="1:6" ht="11.25" customHeight="1" x14ac:dyDescent="0.2">
      <c r="A3123" s="8" t="s">
        <v>75</v>
      </c>
      <c r="B3123" s="9" t="s">
        <v>76</v>
      </c>
      <c r="C3123" s="16"/>
      <c r="D3123" s="16"/>
      <c r="E3123" s="19">
        <v>0</v>
      </c>
    </row>
    <row r="3124" spans="1:6" ht="11.25" customHeight="1" x14ac:dyDescent="0.2">
      <c r="A3124" s="8" t="s">
        <v>77</v>
      </c>
      <c r="B3124" s="9" t="s">
        <v>78</v>
      </c>
      <c r="C3124" s="16"/>
      <c r="D3124" s="16"/>
      <c r="E3124" s="19">
        <v>0</v>
      </c>
    </row>
    <row r="3125" spans="1:6" ht="11.25" customHeight="1" x14ac:dyDescent="0.2">
      <c r="A3125" s="8" t="s">
        <v>79</v>
      </c>
      <c r="B3125" s="9" t="s">
        <v>80</v>
      </c>
      <c r="C3125" s="16">
        <v>13002.5</v>
      </c>
      <c r="D3125" s="16">
        <f>E3125/C3125</f>
        <v>4.1500696019996157</v>
      </c>
      <c r="E3125" s="19">
        <v>53961.279999999999</v>
      </c>
    </row>
    <row r="3126" spans="1:6" ht="11.25" customHeight="1" x14ac:dyDescent="0.2">
      <c r="A3126" s="8" t="s">
        <v>81</v>
      </c>
      <c r="B3126" s="9" t="s">
        <v>82</v>
      </c>
      <c r="C3126" s="34">
        <v>502</v>
      </c>
      <c r="D3126" s="16">
        <f>E3126/C3126</f>
        <v>71.702729083665332</v>
      </c>
      <c r="E3126" s="19">
        <v>35994.769999999997</v>
      </c>
    </row>
    <row r="3127" spans="1:6" ht="11.25" customHeight="1" x14ac:dyDescent="0.2">
      <c r="A3127" s="8" t="s">
        <v>83</v>
      </c>
      <c r="B3127" s="9" t="s">
        <v>194</v>
      </c>
      <c r="C3127" s="34">
        <v>251</v>
      </c>
      <c r="D3127" s="16">
        <f>E3127/C3127</f>
        <v>86.426215139442235</v>
      </c>
      <c r="E3127" s="19">
        <v>21692.98</v>
      </c>
    </row>
    <row r="3128" spans="1:6" ht="11.25" customHeight="1" x14ac:dyDescent="0.2">
      <c r="A3128" s="8" t="s">
        <v>85</v>
      </c>
      <c r="B3128" s="9" t="s">
        <v>86</v>
      </c>
      <c r="C3128" s="34"/>
      <c r="D3128" s="16"/>
      <c r="E3128" s="19">
        <v>0</v>
      </c>
    </row>
    <row r="3129" spans="1:6" ht="11.25" customHeight="1" x14ac:dyDescent="0.2">
      <c r="A3129" s="8" t="s">
        <v>87</v>
      </c>
      <c r="B3129" s="9" t="s">
        <v>88</v>
      </c>
      <c r="C3129" s="34">
        <v>251</v>
      </c>
      <c r="D3129" s="16">
        <f>E3129/C3129</f>
        <v>545.09733067729076</v>
      </c>
      <c r="E3129" s="19">
        <v>136819.43</v>
      </c>
    </row>
    <row r="3130" spans="1:6" ht="11.25" customHeight="1" x14ac:dyDescent="0.2">
      <c r="A3130" s="8" t="s">
        <v>89</v>
      </c>
      <c r="B3130" s="9" t="s">
        <v>90</v>
      </c>
      <c r="C3130" s="16"/>
      <c r="D3130" s="16"/>
      <c r="E3130" s="19">
        <v>0</v>
      </c>
    </row>
    <row r="3131" spans="1:6" ht="11.25" customHeight="1" x14ac:dyDescent="0.2">
      <c r="A3131" s="8" t="s">
        <v>91</v>
      </c>
      <c r="B3131" s="9" t="s">
        <v>202</v>
      </c>
      <c r="C3131" s="34">
        <v>7</v>
      </c>
      <c r="D3131" s="16">
        <f>E3131/C3131</f>
        <v>2769.5299401998959</v>
      </c>
      <c r="E3131" s="19">
        <f>2826.16*7*1.2*0.81663515754</f>
        <v>19386.709581399271</v>
      </c>
    </row>
    <row r="3132" spans="1:6" ht="11.25" customHeight="1" x14ac:dyDescent="0.2">
      <c r="A3132" s="8" t="s">
        <v>203</v>
      </c>
      <c r="B3132" s="9" t="s">
        <v>92</v>
      </c>
      <c r="C3132" s="16"/>
      <c r="D3132" s="16"/>
      <c r="E3132" s="19">
        <v>0</v>
      </c>
    </row>
    <row r="3133" spans="1:6" ht="15" customHeight="1" x14ac:dyDescent="0.2">
      <c r="A3133" s="5">
        <v>4</v>
      </c>
      <c r="B3133" s="6" t="s">
        <v>193</v>
      </c>
      <c r="C3133" s="16"/>
      <c r="D3133" s="16"/>
      <c r="E3133" s="17">
        <f>F3134/1.1*0.1</f>
        <v>411919.19999999995</v>
      </c>
    </row>
    <row r="3134" spans="1:6" ht="18.75" customHeight="1" x14ac:dyDescent="0.2">
      <c r="A3134" s="10"/>
      <c r="B3134" s="11" t="s">
        <v>94</v>
      </c>
      <c r="C3134" s="21"/>
      <c r="D3134" s="21"/>
      <c r="E3134" s="17">
        <f>E3100+E3113+E3121+E3133</f>
        <v>4531111.1955813998</v>
      </c>
      <c r="F3134" s="25">
        <f>E3087*29.04*12</f>
        <v>4531111.1999999993</v>
      </c>
    </row>
    <row r="3135" spans="1:6" ht="15" customHeight="1" x14ac:dyDescent="0.25">
      <c r="A3135" s="10"/>
      <c r="B3135" s="11" t="s">
        <v>199</v>
      </c>
      <c r="C3135" s="21"/>
      <c r="D3135" s="21"/>
      <c r="E3135" s="22">
        <v>29.04</v>
      </c>
    </row>
    <row r="3136" spans="1:6" ht="10.95" customHeight="1" x14ac:dyDescent="0.2"/>
    <row r="3137" spans="1:5" ht="10.95" customHeight="1" x14ac:dyDescent="0.2"/>
    <row r="3138" spans="1:5" ht="10.95" customHeight="1" x14ac:dyDescent="0.2"/>
    <row r="3139" spans="1:5" ht="15" customHeight="1" x14ac:dyDescent="0.25">
      <c r="B3139" s="12" t="s">
        <v>96</v>
      </c>
    </row>
    <row r="3140" spans="1:5" ht="12" customHeight="1" x14ac:dyDescent="0.2"/>
    <row r="3141" spans="1:5" ht="13.2" customHeight="1" x14ac:dyDescent="0.25">
      <c r="B3141" s="3" t="s">
        <v>97</v>
      </c>
    </row>
    <row r="3142" spans="1:5" ht="7.95" customHeight="1" x14ac:dyDescent="0.2"/>
    <row r="3143" spans="1:5" ht="12" customHeight="1" x14ac:dyDescent="0.25">
      <c r="B3143" s="41" t="s">
        <v>100</v>
      </c>
      <c r="C3143" s="41"/>
      <c r="D3143" s="41"/>
      <c r="E3143" s="41"/>
    </row>
    <row r="3144" spans="1:5" ht="10.95" customHeight="1" x14ac:dyDescent="0.2"/>
    <row r="3145" spans="1:5" ht="10.95" customHeight="1" x14ac:dyDescent="0.2"/>
    <row r="3146" spans="1:5" ht="10.95" customHeight="1" x14ac:dyDescent="0.2"/>
    <row r="3147" spans="1:5" ht="16.2" customHeight="1" x14ac:dyDescent="0.2">
      <c r="A3147" s="39" t="s">
        <v>0</v>
      </c>
      <c r="B3147" s="39"/>
      <c r="C3147" s="39"/>
      <c r="D3147" s="39"/>
      <c r="E3147" s="39"/>
    </row>
    <row r="3148" spans="1:5" ht="10.95" customHeight="1" x14ac:dyDescent="0.2">
      <c r="A3148" s="40" t="s">
        <v>1</v>
      </c>
      <c r="B3148" s="40"/>
      <c r="C3148" s="40"/>
      <c r="D3148" s="40"/>
      <c r="E3148" s="40"/>
    </row>
    <row r="3149" spans="1:5" ht="13.2" customHeight="1" x14ac:dyDescent="0.2">
      <c r="A3149" s="40" t="s">
        <v>198</v>
      </c>
      <c r="B3149" s="40"/>
      <c r="C3149" s="40"/>
      <c r="D3149" s="40"/>
      <c r="E3149" s="40"/>
    </row>
    <row r="3150" spans="1:5" ht="10.95" customHeight="1" x14ac:dyDescent="0.2"/>
    <row r="3151" spans="1:5" ht="10.95" customHeight="1" x14ac:dyDescent="0.2">
      <c r="C3151" s="42" t="s">
        <v>3</v>
      </c>
      <c r="D3151" s="42"/>
      <c r="E3151" s="42"/>
    </row>
    <row r="3152" spans="1:5" ht="12" customHeight="1" x14ac:dyDescent="0.2">
      <c r="D3152" s="26" t="s">
        <v>4</v>
      </c>
      <c r="E3152" s="23">
        <v>13046.2</v>
      </c>
    </row>
    <row r="3153" spans="1:6" ht="12" customHeight="1" x14ac:dyDescent="0.2">
      <c r="D3153" s="26" t="s">
        <v>5</v>
      </c>
      <c r="E3153" s="23">
        <v>0</v>
      </c>
    </row>
    <row r="3154" spans="1:6" ht="12" customHeight="1" x14ac:dyDescent="0.2">
      <c r="D3154" s="26" t="s">
        <v>6</v>
      </c>
      <c r="E3154" s="30">
        <v>7</v>
      </c>
    </row>
    <row r="3155" spans="1:6" ht="12" customHeight="1" x14ac:dyDescent="0.2">
      <c r="D3155" s="26" t="s">
        <v>7</v>
      </c>
      <c r="E3155" s="30">
        <v>9</v>
      </c>
    </row>
    <row r="3156" spans="1:6" ht="12" customHeight="1" x14ac:dyDescent="0.2">
      <c r="D3156" s="26" t="s">
        <v>8</v>
      </c>
      <c r="E3156" s="30">
        <v>251</v>
      </c>
    </row>
    <row r="3157" spans="1:6" ht="12" customHeight="1" x14ac:dyDescent="0.2">
      <c r="D3157" s="26" t="s">
        <v>9</v>
      </c>
      <c r="E3157" s="30">
        <v>669</v>
      </c>
    </row>
    <row r="3158" spans="1:6" ht="12" customHeight="1" x14ac:dyDescent="0.2">
      <c r="D3158" s="26" t="s">
        <v>10</v>
      </c>
      <c r="E3158" s="30">
        <v>7</v>
      </c>
    </row>
    <row r="3159" spans="1:6" ht="12" customHeight="1" x14ac:dyDescent="0.2">
      <c r="D3159" s="26" t="s">
        <v>11</v>
      </c>
      <c r="E3159" s="30">
        <v>0</v>
      </c>
    </row>
    <row r="3160" spans="1:6" ht="12" customHeight="1" x14ac:dyDescent="0.2">
      <c r="D3160" s="26" t="s">
        <v>12</v>
      </c>
      <c r="E3160" s="30">
        <v>0</v>
      </c>
    </row>
    <row r="3161" spans="1:6" ht="12" customHeight="1" x14ac:dyDescent="0.2">
      <c r="D3161" s="26" t="s">
        <v>13</v>
      </c>
      <c r="E3161" s="30">
        <v>1393</v>
      </c>
    </row>
    <row r="3162" spans="1:6" ht="12" customHeight="1" x14ac:dyDescent="0.25">
      <c r="A3162" s="2" t="s">
        <v>14</v>
      </c>
      <c r="B3162" s="3" t="s">
        <v>167</v>
      </c>
    </row>
    <row r="3163" spans="1:6" ht="10.95" customHeight="1" x14ac:dyDescent="0.2"/>
    <row r="3164" spans="1:6" ht="45" customHeight="1" x14ac:dyDescent="0.2">
      <c r="A3164" s="4" t="s">
        <v>15</v>
      </c>
      <c r="B3164" s="4" t="s">
        <v>131</v>
      </c>
      <c r="C3164" s="27" t="s">
        <v>17</v>
      </c>
      <c r="D3164" s="27" t="s">
        <v>103</v>
      </c>
      <c r="E3164" s="27" t="s">
        <v>19</v>
      </c>
    </row>
    <row r="3165" spans="1:6" ht="31.5" customHeight="1" x14ac:dyDescent="0.2">
      <c r="A3165" s="5">
        <v>1</v>
      </c>
      <c r="B3165" s="6" t="s">
        <v>190</v>
      </c>
      <c r="C3165" s="16"/>
      <c r="D3165" s="16"/>
      <c r="E3165" s="17">
        <f>E3166+E3173</f>
        <v>2504184.92</v>
      </c>
    </row>
    <row r="3166" spans="1:6" ht="15" customHeight="1" x14ac:dyDescent="0.2">
      <c r="A3166" s="7" t="s">
        <v>21</v>
      </c>
      <c r="B3166" s="6" t="s">
        <v>132</v>
      </c>
      <c r="C3166" s="16"/>
      <c r="D3166" s="16"/>
      <c r="E3166" s="17">
        <f>SUM(E3167:E3172)</f>
        <v>995310.37000000011</v>
      </c>
    </row>
    <row r="3167" spans="1:6" ht="11.25" customHeight="1" x14ac:dyDescent="0.2">
      <c r="A3167" s="15" t="s">
        <v>23</v>
      </c>
      <c r="B3167" s="9" t="s">
        <v>34</v>
      </c>
      <c r="C3167" s="16">
        <v>1.59</v>
      </c>
      <c r="D3167" s="16">
        <v>18781</v>
      </c>
      <c r="E3167" s="19">
        <f>ROUND(C3167*D3167,2)*12</f>
        <v>358341.48</v>
      </c>
      <c r="F3167" s="20"/>
    </row>
    <row r="3168" spans="1:6" ht="11.25" customHeight="1" x14ac:dyDescent="0.2">
      <c r="A3168" s="8" t="s">
        <v>31</v>
      </c>
      <c r="B3168" s="9" t="s">
        <v>36</v>
      </c>
      <c r="C3168" s="16">
        <v>1.56</v>
      </c>
      <c r="D3168" s="16">
        <v>18781</v>
      </c>
      <c r="E3168" s="19">
        <f>ROUND(C3168*D3168,2)*12</f>
        <v>351580.32</v>
      </c>
    </row>
    <row r="3169" spans="1:6" ht="11.25" customHeight="1" x14ac:dyDescent="0.2">
      <c r="A3169" s="8" t="s">
        <v>121</v>
      </c>
      <c r="B3169" s="9" t="s">
        <v>38</v>
      </c>
      <c r="C3169" s="16">
        <v>30.2</v>
      </c>
      <c r="D3169" s="16">
        <f>E3167</f>
        <v>358341.48</v>
      </c>
      <c r="E3169" s="19">
        <f>ROUND(C3169*D3169/100,2)</f>
        <v>108219.13</v>
      </c>
    </row>
    <row r="3170" spans="1:6" ht="11.25" customHeight="1" x14ac:dyDescent="0.2">
      <c r="A3170" s="8" t="s">
        <v>186</v>
      </c>
      <c r="B3170" s="9" t="s">
        <v>40</v>
      </c>
      <c r="C3170" s="16">
        <v>30.2</v>
      </c>
      <c r="D3170" s="16">
        <f>E3168</f>
        <v>351580.32</v>
      </c>
      <c r="E3170" s="19">
        <f>ROUND(C3170*D3170/100,2)</f>
        <v>106177.26</v>
      </c>
    </row>
    <row r="3171" spans="1:6" ht="11.25" customHeight="1" x14ac:dyDescent="0.2">
      <c r="A3171" s="8" t="s">
        <v>187</v>
      </c>
      <c r="B3171" s="9" t="s">
        <v>42</v>
      </c>
      <c r="C3171" s="16"/>
      <c r="D3171" s="16"/>
      <c r="E3171" s="19">
        <f>E3167*0.1</f>
        <v>35834.148000000001</v>
      </c>
    </row>
    <row r="3172" spans="1:6" ht="11.25" customHeight="1" x14ac:dyDescent="0.2">
      <c r="A3172" s="8" t="s">
        <v>188</v>
      </c>
      <c r="B3172" s="9" t="s">
        <v>44</v>
      </c>
      <c r="C3172" s="16"/>
      <c r="D3172" s="16"/>
      <c r="E3172" s="19">
        <f>E3168*0.1</f>
        <v>35158.031999999999</v>
      </c>
    </row>
    <row r="3173" spans="1:6" ht="15" customHeight="1" x14ac:dyDescent="0.2">
      <c r="A3173" s="7" t="s">
        <v>45</v>
      </c>
      <c r="B3173" s="6" t="s">
        <v>189</v>
      </c>
      <c r="C3173" s="16"/>
      <c r="D3173" s="16"/>
      <c r="E3173" s="17">
        <f>E3174+E3175+E3176+E3177</f>
        <v>1508874.5499999998</v>
      </c>
    </row>
    <row r="3174" spans="1:6" ht="11.25" customHeight="1" x14ac:dyDescent="0.2">
      <c r="A3174" s="8" t="s">
        <v>47</v>
      </c>
      <c r="B3174" s="9" t="s">
        <v>48</v>
      </c>
      <c r="C3174" s="16">
        <v>3.52</v>
      </c>
      <c r="D3174" s="16">
        <v>18781</v>
      </c>
      <c r="E3174" s="19">
        <f>C3174*D3174*12</f>
        <v>793309.44</v>
      </c>
      <c r="F3174" s="20"/>
    </row>
    <row r="3175" spans="1:6" ht="11.25" customHeight="1" x14ac:dyDescent="0.2">
      <c r="A3175" s="8" t="s">
        <v>49</v>
      </c>
      <c r="B3175" s="9" t="s">
        <v>50</v>
      </c>
      <c r="C3175" s="16">
        <v>30.2</v>
      </c>
      <c r="D3175" s="16">
        <f>E3174</f>
        <v>793309.44</v>
      </c>
      <c r="E3175" s="19">
        <f>ROUND(C3175*D3175/100,2)</f>
        <v>239579.45</v>
      </c>
    </row>
    <row r="3176" spans="1:6" ht="11.25" customHeight="1" x14ac:dyDescent="0.2">
      <c r="A3176" s="8" t="s">
        <v>51</v>
      </c>
      <c r="B3176" s="9" t="s">
        <v>52</v>
      </c>
      <c r="C3176" s="16"/>
      <c r="D3176" s="16"/>
      <c r="E3176" s="19">
        <f>E3174*0.5</f>
        <v>396654.72</v>
      </c>
    </row>
    <row r="3177" spans="1:6" ht="11.25" customHeight="1" x14ac:dyDescent="0.2">
      <c r="A3177" s="8" t="s">
        <v>53</v>
      </c>
      <c r="B3177" s="9" t="s">
        <v>54</v>
      </c>
      <c r="C3177" s="16"/>
      <c r="D3177" s="16"/>
      <c r="E3177" s="19">
        <f>ROUND(E3174*0.1,2)</f>
        <v>79330.94</v>
      </c>
    </row>
    <row r="3178" spans="1:6" ht="20.100000000000001" customHeight="1" x14ac:dyDescent="0.2">
      <c r="A3178" s="5">
        <v>2</v>
      </c>
      <c r="B3178" s="6" t="s">
        <v>57</v>
      </c>
      <c r="C3178" s="16"/>
      <c r="D3178" s="16"/>
      <c r="E3178" s="17">
        <f>E3179+E3181+E3182+E3183+E3184+E3185+E3180</f>
        <v>1103743.47</v>
      </c>
    </row>
    <row r="3179" spans="1:6" ht="11.25" customHeight="1" x14ac:dyDescent="0.2">
      <c r="A3179" s="35" t="s">
        <v>58</v>
      </c>
      <c r="B3179" s="9" t="s">
        <v>204</v>
      </c>
      <c r="C3179" s="16">
        <v>968.6</v>
      </c>
      <c r="D3179" s="16">
        <f>E3179/C3179</f>
        <v>177.96999793516414</v>
      </c>
      <c r="E3179" s="19">
        <v>172381.74</v>
      </c>
    </row>
    <row r="3180" spans="1:6" ht="11.25" customHeight="1" x14ac:dyDescent="0.2">
      <c r="A3180" s="35" t="s">
        <v>60</v>
      </c>
      <c r="B3180" s="9" t="s">
        <v>195</v>
      </c>
      <c r="C3180" s="16">
        <v>968.6</v>
      </c>
      <c r="D3180" s="16">
        <f>E3180/C3180</f>
        <v>219.63342969233946</v>
      </c>
      <c r="E3180" s="19">
        <v>212736.94</v>
      </c>
    </row>
    <row r="3181" spans="1:6" ht="11.25" customHeight="1" x14ac:dyDescent="0.2">
      <c r="A3181" s="35" t="s">
        <v>62</v>
      </c>
      <c r="B3181" s="9" t="s">
        <v>196</v>
      </c>
      <c r="C3181" s="16">
        <v>307.74</v>
      </c>
      <c r="D3181" s="16">
        <f>E3181/C3181</f>
        <v>848.40124780658994</v>
      </c>
      <c r="E3181" s="19">
        <v>261087</v>
      </c>
    </row>
    <row r="3182" spans="1:6" ht="11.25" customHeight="1" x14ac:dyDescent="0.2">
      <c r="A3182" s="35" t="s">
        <v>64</v>
      </c>
      <c r="B3182" s="9" t="s">
        <v>63</v>
      </c>
      <c r="C3182" s="16">
        <f>E3182/D3182</f>
        <v>49658.478976234008</v>
      </c>
      <c r="D3182" s="16">
        <v>5.47</v>
      </c>
      <c r="E3182" s="19">
        <f>164100+107531.88</f>
        <v>271631.88</v>
      </c>
      <c r="F3182" s="20"/>
    </row>
    <row r="3183" spans="1:6" ht="11.25" customHeight="1" x14ac:dyDescent="0.2">
      <c r="A3183" s="35" t="s">
        <v>66</v>
      </c>
      <c r="B3183" s="9" t="s">
        <v>65</v>
      </c>
      <c r="C3183" s="16">
        <f>E3183/D3183</f>
        <v>2177.8078108941418</v>
      </c>
      <c r="D3183" s="16">
        <v>68.11</v>
      </c>
      <c r="E3183" s="19">
        <f>124063.01+24267.48</f>
        <v>148330.49</v>
      </c>
    </row>
    <row r="3184" spans="1:6" ht="11.25" customHeight="1" x14ac:dyDescent="0.2">
      <c r="A3184" s="35" t="s">
        <v>68</v>
      </c>
      <c r="B3184" s="9" t="s">
        <v>69</v>
      </c>
      <c r="C3184" s="16">
        <v>1916.2</v>
      </c>
      <c r="D3184" s="16">
        <f>E3184/C3184</f>
        <v>3.35</v>
      </c>
      <c r="E3184" s="19">
        <v>6419.27</v>
      </c>
    </row>
    <row r="3185" spans="1:6" ht="11.25" customHeight="1" x14ac:dyDescent="0.2">
      <c r="A3185" s="35" t="s">
        <v>70</v>
      </c>
      <c r="B3185" s="9" t="s">
        <v>71</v>
      </c>
      <c r="C3185" s="16">
        <v>165.69</v>
      </c>
      <c r="D3185" s="16">
        <f>E3185/C3185</f>
        <v>188.03880741143101</v>
      </c>
      <c r="E3185" s="19">
        <v>31156.15</v>
      </c>
    </row>
    <row r="3186" spans="1:6" ht="20.100000000000001" customHeight="1" x14ac:dyDescent="0.2">
      <c r="A3186" s="5">
        <v>3</v>
      </c>
      <c r="B3186" s="6" t="s">
        <v>72</v>
      </c>
      <c r="C3186" s="16"/>
      <c r="D3186" s="16"/>
      <c r="E3186" s="17">
        <f>E3187+E3188+E3189+E3190+E3191+E3192+E3193+E3194+E3195+E3197+E3196</f>
        <v>525107.76958139928</v>
      </c>
    </row>
    <row r="3187" spans="1:6" ht="11.25" customHeight="1" x14ac:dyDescent="0.2">
      <c r="A3187" s="8" t="s">
        <v>73</v>
      </c>
      <c r="B3187" s="9" t="s">
        <v>74</v>
      </c>
      <c r="C3187" s="34">
        <v>7</v>
      </c>
      <c r="D3187" s="16">
        <f>E3187/C3187/12</f>
        <v>3064.0079761904763</v>
      </c>
      <c r="E3187" s="19">
        <v>257376.67</v>
      </c>
    </row>
    <row r="3188" spans="1:6" ht="11.25" customHeight="1" x14ac:dyDescent="0.2">
      <c r="A3188" s="8" t="s">
        <v>75</v>
      </c>
      <c r="B3188" s="9" t="s">
        <v>76</v>
      </c>
      <c r="C3188" s="16"/>
      <c r="D3188" s="16"/>
      <c r="E3188" s="19">
        <v>0</v>
      </c>
    </row>
    <row r="3189" spans="1:6" ht="11.25" customHeight="1" x14ac:dyDescent="0.2">
      <c r="A3189" s="8" t="s">
        <v>77</v>
      </c>
      <c r="B3189" s="9" t="s">
        <v>78</v>
      </c>
      <c r="C3189" s="16"/>
      <c r="D3189" s="16"/>
      <c r="E3189" s="19">
        <v>0</v>
      </c>
    </row>
    <row r="3190" spans="1:6" ht="11.25" customHeight="1" x14ac:dyDescent="0.2">
      <c r="A3190" s="8" t="s">
        <v>79</v>
      </c>
      <c r="B3190" s="9" t="s">
        <v>80</v>
      </c>
      <c r="C3190" s="16">
        <v>13046.2</v>
      </c>
      <c r="D3190" s="16">
        <f>E3190/C3190</f>
        <v>4.1502284190032341</v>
      </c>
      <c r="E3190" s="19">
        <v>54144.71</v>
      </c>
    </row>
    <row r="3191" spans="1:6" ht="11.25" customHeight="1" x14ac:dyDescent="0.2">
      <c r="A3191" s="8" t="s">
        <v>81</v>
      </c>
      <c r="B3191" s="9" t="s">
        <v>82</v>
      </c>
      <c r="C3191" s="34">
        <v>502</v>
      </c>
      <c r="D3191" s="16">
        <f>E3191/C3191</f>
        <v>71.702729083665332</v>
      </c>
      <c r="E3191" s="19">
        <v>35994.769999999997</v>
      </c>
    </row>
    <row r="3192" spans="1:6" ht="11.25" customHeight="1" x14ac:dyDescent="0.2">
      <c r="A3192" s="8" t="s">
        <v>83</v>
      </c>
      <c r="B3192" s="9" t="s">
        <v>194</v>
      </c>
      <c r="C3192" s="34">
        <v>251</v>
      </c>
      <c r="D3192" s="16">
        <f>E3192/C3192</f>
        <v>86.426215139442235</v>
      </c>
      <c r="E3192" s="19">
        <v>21692.98</v>
      </c>
    </row>
    <row r="3193" spans="1:6" ht="11.25" customHeight="1" x14ac:dyDescent="0.2">
      <c r="A3193" s="8" t="s">
        <v>85</v>
      </c>
      <c r="B3193" s="9" t="s">
        <v>86</v>
      </c>
      <c r="C3193" s="34"/>
      <c r="D3193" s="16"/>
      <c r="E3193" s="19">
        <v>0</v>
      </c>
    </row>
    <row r="3194" spans="1:6" ht="11.25" customHeight="1" x14ac:dyDescent="0.2">
      <c r="A3194" s="8" t="s">
        <v>87</v>
      </c>
      <c r="B3194" s="9" t="s">
        <v>88</v>
      </c>
      <c r="C3194" s="34">
        <v>249</v>
      </c>
      <c r="D3194" s="16">
        <f>E3194/C3194</f>
        <v>548.24068273092371</v>
      </c>
      <c r="E3194" s="19">
        <v>136511.93</v>
      </c>
    </row>
    <row r="3195" spans="1:6" ht="11.25" customHeight="1" x14ac:dyDescent="0.2">
      <c r="A3195" s="8" t="s">
        <v>89</v>
      </c>
      <c r="B3195" s="9" t="s">
        <v>90</v>
      </c>
      <c r="C3195" s="16"/>
      <c r="D3195" s="16"/>
      <c r="E3195" s="19">
        <v>0</v>
      </c>
    </row>
    <row r="3196" spans="1:6" ht="11.25" customHeight="1" x14ac:dyDescent="0.2">
      <c r="A3196" s="8" t="s">
        <v>91</v>
      </c>
      <c r="B3196" s="9" t="s">
        <v>202</v>
      </c>
      <c r="C3196" s="34">
        <v>7</v>
      </c>
      <c r="D3196" s="16">
        <f>E3196/C3196</f>
        <v>2769.5299401998959</v>
      </c>
      <c r="E3196" s="19">
        <f>2826.16*7*1.2*0.81663515754</f>
        <v>19386.709581399271</v>
      </c>
    </row>
    <row r="3197" spans="1:6" ht="11.25" customHeight="1" x14ac:dyDescent="0.2">
      <c r="A3197" s="8" t="s">
        <v>203</v>
      </c>
      <c r="B3197" s="9" t="s">
        <v>92</v>
      </c>
      <c r="C3197" s="16"/>
      <c r="D3197" s="16"/>
      <c r="E3197" s="19">
        <v>0</v>
      </c>
    </row>
    <row r="3198" spans="1:6" ht="15" customHeight="1" x14ac:dyDescent="0.2">
      <c r="A3198" s="5">
        <v>4</v>
      </c>
      <c r="B3198" s="6" t="s">
        <v>193</v>
      </c>
      <c r="C3198" s="16"/>
      <c r="D3198" s="16"/>
      <c r="E3198" s="17">
        <f>F3199/1.1*0.1</f>
        <v>413303.61599999992</v>
      </c>
    </row>
    <row r="3199" spans="1:6" ht="18.75" customHeight="1" x14ac:dyDescent="0.2">
      <c r="A3199" s="10"/>
      <c r="B3199" s="11" t="s">
        <v>94</v>
      </c>
      <c r="C3199" s="21"/>
      <c r="D3199" s="21"/>
      <c r="E3199" s="17">
        <f>E3165+E3178+E3186+E3198</f>
        <v>4546339.775581399</v>
      </c>
      <c r="F3199" s="25">
        <f>E3152*29.04*12</f>
        <v>4546339.7759999996</v>
      </c>
    </row>
    <row r="3200" spans="1:6" ht="15" customHeight="1" x14ac:dyDescent="0.25">
      <c r="A3200" s="10"/>
      <c r="B3200" s="11" t="s">
        <v>199</v>
      </c>
      <c r="C3200" s="21"/>
      <c r="D3200" s="21"/>
      <c r="E3200" s="22">
        <v>29.04</v>
      </c>
    </row>
    <row r="3201" spans="1:5" ht="10.95" customHeight="1" x14ac:dyDescent="0.2"/>
    <row r="3202" spans="1:5" ht="10.95" customHeight="1" x14ac:dyDescent="0.2"/>
    <row r="3203" spans="1:5" ht="10.95" customHeight="1" x14ac:dyDescent="0.2"/>
    <row r="3204" spans="1:5" ht="15" customHeight="1" x14ac:dyDescent="0.25">
      <c r="B3204" s="12" t="s">
        <v>96</v>
      </c>
    </row>
    <row r="3205" spans="1:5" ht="12" customHeight="1" x14ac:dyDescent="0.2"/>
    <row r="3206" spans="1:5" ht="13.2" customHeight="1" x14ac:dyDescent="0.25">
      <c r="B3206" s="3" t="s">
        <v>97</v>
      </c>
    </row>
    <row r="3207" spans="1:5" ht="7.95" customHeight="1" x14ac:dyDescent="0.2"/>
    <row r="3208" spans="1:5" ht="12" customHeight="1" x14ac:dyDescent="0.25">
      <c r="B3208" s="41" t="s">
        <v>100</v>
      </c>
      <c r="C3208" s="41"/>
      <c r="D3208" s="41"/>
      <c r="E3208" s="41"/>
    </row>
    <row r="3209" spans="1:5" ht="10.95" customHeight="1" x14ac:dyDescent="0.2"/>
    <row r="3210" spans="1:5" ht="10.95" customHeight="1" x14ac:dyDescent="0.2"/>
    <row r="3211" spans="1:5" ht="10.95" customHeight="1" x14ac:dyDescent="0.2"/>
    <row r="3212" spans="1:5" ht="16.2" customHeight="1" x14ac:dyDescent="0.2">
      <c r="A3212" s="39" t="s">
        <v>0</v>
      </c>
      <c r="B3212" s="39"/>
      <c r="C3212" s="39"/>
      <c r="D3212" s="39"/>
      <c r="E3212" s="39"/>
    </row>
    <row r="3213" spans="1:5" ht="10.95" customHeight="1" x14ac:dyDescent="0.2">
      <c r="A3213" s="40" t="s">
        <v>1</v>
      </c>
      <c r="B3213" s="40"/>
      <c r="C3213" s="40"/>
      <c r="D3213" s="40"/>
      <c r="E3213" s="40"/>
    </row>
    <row r="3214" spans="1:5" ht="13.2" customHeight="1" x14ac:dyDescent="0.2">
      <c r="A3214" s="40" t="s">
        <v>198</v>
      </c>
      <c r="B3214" s="40"/>
      <c r="C3214" s="40"/>
      <c r="D3214" s="40"/>
      <c r="E3214" s="40"/>
    </row>
    <row r="3215" spans="1:5" ht="10.95" customHeight="1" x14ac:dyDescent="0.2"/>
    <row r="3216" spans="1:5" ht="10.95" customHeight="1" x14ac:dyDescent="0.2">
      <c r="C3216" s="42" t="s">
        <v>3</v>
      </c>
      <c r="D3216" s="42"/>
      <c r="E3216" s="42"/>
    </row>
    <row r="3217" spans="1:6" ht="12" customHeight="1" x14ac:dyDescent="0.2">
      <c r="D3217" s="26" t="s">
        <v>4</v>
      </c>
      <c r="E3217" s="23">
        <v>9210.1</v>
      </c>
    </row>
    <row r="3218" spans="1:6" ht="12" customHeight="1" x14ac:dyDescent="0.2">
      <c r="D3218" s="26" t="s">
        <v>5</v>
      </c>
      <c r="E3218" s="23">
        <v>0</v>
      </c>
    </row>
    <row r="3219" spans="1:6" ht="12" customHeight="1" x14ac:dyDescent="0.2">
      <c r="D3219" s="26" t="s">
        <v>6</v>
      </c>
      <c r="E3219" s="30">
        <v>5</v>
      </c>
    </row>
    <row r="3220" spans="1:6" ht="12" customHeight="1" x14ac:dyDescent="0.2">
      <c r="D3220" s="26" t="s">
        <v>7</v>
      </c>
      <c r="E3220" s="30">
        <v>9</v>
      </c>
    </row>
    <row r="3221" spans="1:6" ht="12" customHeight="1" x14ac:dyDescent="0.2">
      <c r="D3221" s="26" t="s">
        <v>8</v>
      </c>
      <c r="E3221" s="30">
        <v>179</v>
      </c>
    </row>
    <row r="3222" spans="1:6" ht="12" customHeight="1" x14ac:dyDescent="0.2">
      <c r="D3222" s="26" t="s">
        <v>9</v>
      </c>
      <c r="E3222" s="30">
        <v>490</v>
      </c>
    </row>
    <row r="3223" spans="1:6" ht="12" customHeight="1" x14ac:dyDescent="0.2">
      <c r="D3223" s="26" t="s">
        <v>10</v>
      </c>
      <c r="E3223" s="30">
        <v>5</v>
      </c>
    </row>
    <row r="3224" spans="1:6" ht="12" customHeight="1" x14ac:dyDescent="0.2">
      <c r="D3224" s="26" t="s">
        <v>11</v>
      </c>
      <c r="E3224" s="30">
        <v>0</v>
      </c>
    </row>
    <row r="3225" spans="1:6" ht="12" customHeight="1" x14ac:dyDescent="0.2">
      <c r="D3225" s="26" t="s">
        <v>12</v>
      </c>
      <c r="E3225" s="30">
        <v>0</v>
      </c>
    </row>
    <row r="3226" spans="1:6" ht="12" customHeight="1" x14ac:dyDescent="0.2">
      <c r="D3226" s="26" t="s">
        <v>13</v>
      </c>
      <c r="E3226" s="30">
        <v>931</v>
      </c>
    </row>
    <row r="3227" spans="1:6" ht="12" customHeight="1" x14ac:dyDescent="0.25">
      <c r="A3227" s="2" t="s">
        <v>14</v>
      </c>
      <c r="B3227" s="3" t="s">
        <v>168</v>
      </c>
    </row>
    <row r="3228" spans="1:6" ht="10.95" customHeight="1" x14ac:dyDescent="0.2"/>
    <row r="3229" spans="1:6" ht="45" customHeight="1" x14ac:dyDescent="0.2">
      <c r="A3229" s="4" t="s">
        <v>15</v>
      </c>
      <c r="B3229" s="4" t="s">
        <v>131</v>
      </c>
      <c r="C3229" s="27" t="s">
        <v>17</v>
      </c>
      <c r="D3229" s="27" t="s">
        <v>103</v>
      </c>
      <c r="E3229" s="27" t="s">
        <v>19</v>
      </c>
    </row>
    <row r="3230" spans="1:6" ht="31.5" customHeight="1" x14ac:dyDescent="0.2">
      <c r="A3230" s="5">
        <v>1</v>
      </c>
      <c r="B3230" s="6" t="s">
        <v>190</v>
      </c>
      <c r="C3230" s="16"/>
      <c r="D3230" s="16"/>
      <c r="E3230" s="17">
        <f>E3231+E3238</f>
        <v>1774227.5419999999</v>
      </c>
    </row>
    <row r="3231" spans="1:6" ht="15" customHeight="1" x14ac:dyDescent="0.2">
      <c r="A3231" s="7" t="s">
        <v>21</v>
      </c>
      <c r="B3231" s="6" t="s">
        <v>132</v>
      </c>
      <c r="C3231" s="16"/>
      <c r="D3231" s="16"/>
      <c r="E3231" s="17">
        <f>SUM(E3232:E3237)</f>
        <v>698297.11199999996</v>
      </c>
    </row>
    <row r="3232" spans="1:6" ht="11.25" customHeight="1" x14ac:dyDescent="0.2">
      <c r="A3232" s="15" t="s">
        <v>23</v>
      </c>
      <c r="B3232" s="9" t="s">
        <v>34</v>
      </c>
      <c r="C3232" s="16">
        <v>1.06</v>
      </c>
      <c r="D3232" s="16">
        <v>18781</v>
      </c>
      <c r="E3232" s="19">
        <f>ROUND(C3232*D3232,2)*12</f>
        <v>238894.32</v>
      </c>
      <c r="F3232" s="20"/>
    </row>
    <row r="3233" spans="1:6" ht="11.25" customHeight="1" x14ac:dyDescent="0.2">
      <c r="A3233" s="8" t="s">
        <v>31</v>
      </c>
      <c r="B3233" s="9" t="s">
        <v>36</v>
      </c>
      <c r="C3233" s="16">
        <v>1.1499999999999999</v>
      </c>
      <c r="D3233" s="16">
        <v>18781</v>
      </c>
      <c r="E3233" s="19">
        <f>ROUND(C3233*D3233,2)*12</f>
        <v>259177.80000000002</v>
      </c>
    </row>
    <row r="3234" spans="1:6" ht="11.25" customHeight="1" x14ac:dyDescent="0.2">
      <c r="A3234" s="8" t="s">
        <v>121</v>
      </c>
      <c r="B3234" s="9" t="s">
        <v>38</v>
      </c>
      <c r="C3234" s="16">
        <v>30.2</v>
      </c>
      <c r="D3234" s="16">
        <f>E3232</f>
        <v>238894.32</v>
      </c>
      <c r="E3234" s="19">
        <f>ROUND(C3234*D3234/100,2)</f>
        <v>72146.080000000002</v>
      </c>
    </row>
    <row r="3235" spans="1:6" ht="11.25" customHeight="1" x14ac:dyDescent="0.2">
      <c r="A3235" s="8" t="s">
        <v>186</v>
      </c>
      <c r="B3235" s="9" t="s">
        <v>40</v>
      </c>
      <c r="C3235" s="16">
        <v>30.2</v>
      </c>
      <c r="D3235" s="16">
        <f>E3233</f>
        <v>259177.80000000002</v>
      </c>
      <c r="E3235" s="19">
        <f>ROUND(C3235*D3235/100,2)</f>
        <v>78271.7</v>
      </c>
    </row>
    <row r="3236" spans="1:6" ht="11.25" customHeight="1" x14ac:dyDescent="0.2">
      <c r="A3236" s="8" t="s">
        <v>187</v>
      </c>
      <c r="B3236" s="9" t="s">
        <v>42</v>
      </c>
      <c r="C3236" s="16"/>
      <c r="D3236" s="16"/>
      <c r="E3236" s="19">
        <f>E3232*0.1</f>
        <v>23889.432000000001</v>
      </c>
    </row>
    <row r="3237" spans="1:6" ht="11.25" customHeight="1" x14ac:dyDescent="0.2">
      <c r="A3237" s="8" t="s">
        <v>188</v>
      </c>
      <c r="B3237" s="9" t="s">
        <v>44</v>
      </c>
      <c r="C3237" s="16"/>
      <c r="D3237" s="16"/>
      <c r="E3237" s="19">
        <f>ROUND(E3233*0.1,2)</f>
        <v>25917.78</v>
      </c>
    </row>
    <row r="3238" spans="1:6" ht="15" customHeight="1" x14ac:dyDescent="0.2">
      <c r="A3238" s="7" t="s">
        <v>45</v>
      </c>
      <c r="B3238" s="6" t="s">
        <v>189</v>
      </c>
      <c r="C3238" s="16"/>
      <c r="D3238" s="16"/>
      <c r="E3238" s="17">
        <f>E3239+E3240+E3241+E3242</f>
        <v>1075930.43</v>
      </c>
    </row>
    <row r="3239" spans="1:6" ht="11.25" customHeight="1" x14ac:dyDescent="0.2">
      <c r="A3239" s="8" t="s">
        <v>47</v>
      </c>
      <c r="B3239" s="9" t="s">
        <v>48</v>
      </c>
      <c r="C3239" s="16">
        <v>2.5099999999999998</v>
      </c>
      <c r="D3239" s="16">
        <v>18781</v>
      </c>
      <c r="E3239" s="19">
        <f>C3239*D3239*12</f>
        <v>565683.72</v>
      </c>
      <c r="F3239" s="20"/>
    </row>
    <row r="3240" spans="1:6" ht="11.25" customHeight="1" x14ac:dyDescent="0.2">
      <c r="A3240" s="8" t="s">
        <v>49</v>
      </c>
      <c r="B3240" s="9" t="s">
        <v>50</v>
      </c>
      <c r="C3240" s="16">
        <v>30.2</v>
      </c>
      <c r="D3240" s="16">
        <f>E3239</f>
        <v>565683.72</v>
      </c>
      <c r="E3240" s="19">
        <f>ROUND(C3240*D3240/100,2)</f>
        <v>170836.48000000001</v>
      </c>
    </row>
    <row r="3241" spans="1:6" ht="11.25" customHeight="1" x14ac:dyDescent="0.2">
      <c r="A3241" s="8" t="s">
        <v>51</v>
      </c>
      <c r="B3241" s="9" t="s">
        <v>52</v>
      </c>
      <c r="C3241" s="16"/>
      <c r="D3241" s="16"/>
      <c r="E3241" s="19">
        <f>E3239*0.5</f>
        <v>282841.86</v>
      </c>
    </row>
    <row r="3242" spans="1:6" ht="11.25" customHeight="1" x14ac:dyDescent="0.2">
      <c r="A3242" s="8" t="s">
        <v>53</v>
      </c>
      <c r="B3242" s="9" t="s">
        <v>54</v>
      </c>
      <c r="C3242" s="16"/>
      <c r="D3242" s="16"/>
      <c r="E3242" s="19">
        <f>ROUND(E3239*0.1,2)</f>
        <v>56568.37</v>
      </c>
    </row>
    <row r="3243" spans="1:6" ht="20.100000000000001" customHeight="1" x14ac:dyDescent="0.2">
      <c r="A3243" s="5">
        <v>2</v>
      </c>
      <c r="B3243" s="6" t="s">
        <v>57</v>
      </c>
      <c r="C3243" s="16"/>
      <c r="D3243" s="16"/>
      <c r="E3243" s="17">
        <f>E3244+E3246+E3247+E3248+E3249+E3250+E3245</f>
        <v>770486.90999999992</v>
      </c>
    </row>
    <row r="3244" spans="1:6" ht="11.25" customHeight="1" x14ac:dyDescent="0.2">
      <c r="A3244" s="35" t="s">
        <v>58</v>
      </c>
      <c r="B3244" s="9" t="s">
        <v>204</v>
      </c>
      <c r="C3244" s="16">
        <v>710.5</v>
      </c>
      <c r="D3244" s="16">
        <f>E3244/C3244</f>
        <v>177.97000703729768</v>
      </c>
      <c r="E3244" s="19">
        <v>126447.69</v>
      </c>
    </row>
    <row r="3245" spans="1:6" ht="11.25" customHeight="1" x14ac:dyDescent="0.2">
      <c r="A3245" s="35" t="s">
        <v>60</v>
      </c>
      <c r="B3245" s="9" t="s">
        <v>195</v>
      </c>
      <c r="C3245" s="16">
        <v>710.5</v>
      </c>
      <c r="D3245" s="16">
        <f>E3245/C3245</f>
        <v>219.63344123856439</v>
      </c>
      <c r="E3245" s="19">
        <v>156049.56</v>
      </c>
    </row>
    <row r="3246" spans="1:6" ht="11.25" customHeight="1" x14ac:dyDescent="0.2">
      <c r="A3246" s="35" t="s">
        <v>62</v>
      </c>
      <c r="B3246" s="9" t="s">
        <v>196</v>
      </c>
      <c r="C3246" s="16">
        <v>225.4</v>
      </c>
      <c r="D3246" s="16">
        <f>E3246/C3246</f>
        <v>848.40124223602493</v>
      </c>
      <c r="E3246" s="19">
        <v>191229.64</v>
      </c>
    </row>
    <row r="3247" spans="1:6" ht="11.25" customHeight="1" x14ac:dyDescent="0.2">
      <c r="A3247" s="35" t="s">
        <v>64</v>
      </c>
      <c r="B3247" s="9" t="s">
        <v>63</v>
      </c>
      <c r="C3247" s="16">
        <f>E3247/D3247</f>
        <v>29394.645338208411</v>
      </c>
      <c r="D3247" s="16">
        <v>5.47</v>
      </c>
      <c r="E3247" s="19">
        <f>114870+45918.71</f>
        <v>160788.71</v>
      </c>
      <c r="F3247" s="20"/>
    </row>
    <row r="3248" spans="1:6" ht="11.25" customHeight="1" x14ac:dyDescent="0.2">
      <c r="A3248" s="35" t="s">
        <v>66</v>
      </c>
      <c r="B3248" s="9" t="s">
        <v>65</v>
      </c>
      <c r="C3248" s="16">
        <f>E3248/D3248</f>
        <v>1601.0378799001614</v>
      </c>
      <c r="D3248" s="16">
        <v>68.11</v>
      </c>
      <c r="E3248" s="19">
        <f>91712.78+17333.91</f>
        <v>109046.69</v>
      </c>
    </row>
    <row r="3249" spans="1:6" ht="11.25" customHeight="1" x14ac:dyDescent="0.2">
      <c r="A3249" s="35" t="s">
        <v>68</v>
      </c>
      <c r="B3249" s="9" t="s">
        <v>69</v>
      </c>
      <c r="C3249" s="16">
        <v>1394.1</v>
      </c>
      <c r="D3249" s="16">
        <f>E3249/C3249</f>
        <v>3.3499964134567102</v>
      </c>
      <c r="E3249" s="19">
        <v>4670.2299999999996</v>
      </c>
    </row>
    <row r="3250" spans="1:6" ht="11.25" customHeight="1" x14ac:dyDescent="0.2">
      <c r="A3250" s="35" t="s">
        <v>70</v>
      </c>
      <c r="B3250" s="9" t="s">
        <v>71</v>
      </c>
      <c r="C3250" s="16">
        <v>118.35</v>
      </c>
      <c r="D3250" s="16">
        <f>E3250/C3250</f>
        <v>188.03878326996198</v>
      </c>
      <c r="E3250" s="19">
        <v>22254.39</v>
      </c>
    </row>
    <row r="3251" spans="1:6" ht="20.100000000000001" customHeight="1" x14ac:dyDescent="0.2">
      <c r="A3251" s="5">
        <v>3</v>
      </c>
      <c r="B3251" s="6" t="s">
        <v>72</v>
      </c>
      <c r="C3251" s="16"/>
      <c r="D3251" s="16"/>
      <c r="E3251" s="17">
        <f>E3252+E3253+E3254+E3255+E3256+E3257+E3258+E3259+E3260+E3262+E3261</f>
        <v>373045.22582059971</v>
      </c>
    </row>
    <row r="3252" spans="1:6" ht="11.25" customHeight="1" x14ac:dyDescent="0.2">
      <c r="A3252" s="8" t="s">
        <v>73</v>
      </c>
      <c r="B3252" s="9" t="s">
        <v>74</v>
      </c>
      <c r="C3252" s="34">
        <v>5</v>
      </c>
      <c r="D3252" s="16">
        <f>E3252/C3252/12</f>
        <v>3064.0080000000003</v>
      </c>
      <c r="E3252" s="19">
        <v>183840.48</v>
      </c>
    </row>
    <row r="3253" spans="1:6" ht="11.25" customHeight="1" x14ac:dyDescent="0.2">
      <c r="A3253" s="8" t="s">
        <v>75</v>
      </c>
      <c r="B3253" s="9" t="s">
        <v>76</v>
      </c>
      <c r="C3253" s="16"/>
      <c r="D3253" s="16"/>
      <c r="E3253" s="19">
        <v>0</v>
      </c>
    </row>
    <row r="3254" spans="1:6" ht="11.25" customHeight="1" x14ac:dyDescent="0.2">
      <c r="A3254" s="8" t="s">
        <v>77</v>
      </c>
      <c r="B3254" s="9" t="s">
        <v>78</v>
      </c>
      <c r="C3254" s="16"/>
      <c r="D3254" s="16"/>
      <c r="E3254" s="19">
        <v>0</v>
      </c>
    </row>
    <row r="3255" spans="1:6" ht="11.25" customHeight="1" x14ac:dyDescent="0.2">
      <c r="A3255" s="8" t="s">
        <v>79</v>
      </c>
      <c r="B3255" s="9" t="s">
        <v>80</v>
      </c>
      <c r="C3255" s="16">
        <v>9210.1</v>
      </c>
      <c r="D3255" s="16">
        <f>E3255/C3255</f>
        <v>4.1500689460483597</v>
      </c>
      <c r="E3255" s="19">
        <v>38222.550000000003</v>
      </c>
    </row>
    <row r="3256" spans="1:6" ht="11.25" customHeight="1" x14ac:dyDescent="0.2">
      <c r="A3256" s="8" t="s">
        <v>81</v>
      </c>
      <c r="B3256" s="9" t="s">
        <v>82</v>
      </c>
      <c r="C3256" s="34">
        <v>358</v>
      </c>
      <c r="D3256" s="16">
        <f>E3256/C3256</f>
        <v>71.71329608938548</v>
      </c>
      <c r="E3256" s="19">
        <v>25673.360000000001</v>
      </c>
    </row>
    <row r="3257" spans="1:6" ht="11.25" customHeight="1" x14ac:dyDescent="0.2">
      <c r="A3257" s="8" t="s">
        <v>83</v>
      </c>
      <c r="B3257" s="9" t="s">
        <v>194</v>
      </c>
      <c r="C3257" s="34">
        <v>179</v>
      </c>
      <c r="D3257" s="16">
        <f>E3257/C3257</f>
        <v>86.663575418994412</v>
      </c>
      <c r="E3257" s="19">
        <v>15512.78</v>
      </c>
    </row>
    <row r="3258" spans="1:6" ht="11.25" customHeight="1" x14ac:dyDescent="0.2">
      <c r="A3258" s="8" t="s">
        <v>85</v>
      </c>
      <c r="B3258" s="9" t="s">
        <v>86</v>
      </c>
      <c r="C3258" s="34"/>
      <c r="D3258" s="16"/>
      <c r="E3258" s="19">
        <v>0</v>
      </c>
    </row>
    <row r="3259" spans="1:6" ht="11.25" customHeight="1" x14ac:dyDescent="0.2">
      <c r="A3259" s="8" t="s">
        <v>87</v>
      </c>
      <c r="B3259" s="9" t="s">
        <v>88</v>
      </c>
      <c r="C3259" s="34">
        <v>179</v>
      </c>
      <c r="D3259" s="16">
        <f>E3259/C3259</f>
        <v>543.19648044692735</v>
      </c>
      <c r="E3259" s="19">
        <v>97232.17</v>
      </c>
    </row>
    <row r="3260" spans="1:6" ht="11.25" customHeight="1" x14ac:dyDescent="0.2">
      <c r="A3260" s="8" t="s">
        <v>89</v>
      </c>
      <c r="B3260" s="9" t="s">
        <v>90</v>
      </c>
      <c r="C3260" s="16"/>
      <c r="D3260" s="16"/>
      <c r="E3260" s="19">
        <v>0</v>
      </c>
    </row>
    <row r="3261" spans="1:6" ht="11.25" customHeight="1" x14ac:dyDescent="0.2">
      <c r="A3261" s="8" t="s">
        <v>91</v>
      </c>
      <c r="B3261" s="9" t="s">
        <v>202</v>
      </c>
      <c r="C3261" s="34">
        <v>5</v>
      </c>
      <c r="D3261" s="16">
        <f>E3261/C3261</f>
        <v>2512.7771641199374</v>
      </c>
      <c r="E3261" s="19">
        <f>1773.04*2*1.2+2826.16*3*1.2*0.81663515754</f>
        <v>12563.885820599688</v>
      </c>
    </row>
    <row r="3262" spans="1:6" ht="11.25" customHeight="1" x14ac:dyDescent="0.2">
      <c r="A3262" s="8" t="s">
        <v>203</v>
      </c>
      <c r="B3262" s="9" t="s">
        <v>92</v>
      </c>
      <c r="C3262" s="16"/>
      <c r="D3262" s="16"/>
      <c r="E3262" s="19">
        <v>0</v>
      </c>
    </row>
    <row r="3263" spans="1:6" ht="15" customHeight="1" x14ac:dyDescent="0.2">
      <c r="A3263" s="5">
        <v>4</v>
      </c>
      <c r="B3263" s="6" t="s">
        <v>193</v>
      </c>
      <c r="C3263" s="16"/>
      <c r="D3263" s="16"/>
      <c r="E3263" s="17">
        <f>ROUND(F3264/1.1*0.1,2)</f>
        <v>291775.96999999997</v>
      </c>
    </row>
    <row r="3264" spans="1:6" ht="18.75" customHeight="1" x14ac:dyDescent="0.2">
      <c r="A3264" s="10"/>
      <c r="B3264" s="11" t="s">
        <v>94</v>
      </c>
      <c r="C3264" s="21"/>
      <c r="D3264" s="21"/>
      <c r="E3264" s="17">
        <f>E3230+E3243+E3251+E3263</f>
        <v>3209535.6478205994</v>
      </c>
      <c r="F3264" s="25">
        <f>E3217*29.04*12</f>
        <v>3209535.648</v>
      </c>
    </row>
    <row r="3265" spans="1:5" ht="15" customHeight="1" x14ac:dyDescent="0.25">
      <c r="A3265" s="10"/>
      <c r="B3265" s="11" t="s">
        <v>199</v>
      </c>
      <c r="C3265" s="21"/>
      <c r="D3265" s="21"/>
      <c r="E3265" s="22">
        <v>29.04</v>
      </c>
    </row>
    <row r="3266" spans="1:5" ht="10.95" customHeight="1" x14ac:dyDescent="0.2"/>
    <row r="3267" spans="1:5" ht="10.95" customHeight="1" x14ac:dyDescent="0.2"/>
    <row r="3268" spans="1:5" ht="10.95" customHeight="1" x14ac:dyDescent="0.2"/>
    <row r="3269" spans="1:5" ht="15" customHeight="1" x14ac:dyDescent="0.25">
      <c r="B3269" s="12" t="s">
        <v>96</v>
      </c>
    </row>
    <row r="3270" spans="1:5" ht="12" customHeight="1" x14ac:dyDescent="0.2"/>
    <row r="3271" spans="1:5" ht="13.2" customHeight="1" x14ac:dyDescent="0.25">
      <c r="B3271" s="3" t="s">
        <v>97</v>
      </c>
    </row>
    <row r="3272" spans="1:5" ht="7.95" customHeight="1" x14ac:dyDescent="0.2"/>
    <row r="3273" spans="1:5" ht="12" customHeight="1" x14ac:dyDescent="0.25">
      <c r="B3273" s="41" t="s">
        <v>100</v>
      </c>
      <c r="C3273" s="41"/>
      <c r="D3273" s="41"/>
      <c r="E3273" s="41"/>
    </row>
    <row r="3274" spans="1:5" ht="10.95" customHeight="1" x14ac:dyDescent="0.2"/>
    <row r="3275" spans="1:5" ht="10.95" customHeight="1" x14ac:dyDescent="0.2"/>
    <row r="3276" spans="1:5" ht="10.95" customHeight="1" x14ac:dyDescent="0.2"/>
    <row r="3277" spans="1:5" ht="16.2" customHeight="1" x14ac:dyDescent="0.2">
      <c r="A3277" s="39" t="s">
        <v>0</v>
      </c>
      <c r="B3277" s="39"/>
      <c r="C3277" s="39"/>
      <c r="D3277" s="39"/>
      <c r="E3277" s="39"/>
    </row>
    <row r="3278" spans="1:5" ht="10.95" customHeight="1" x14ac:dyDescent="0.2">
      <c r="A3278" s="40" t="s">
        <v>1</v>
      </c>
      <c r="B3278" s="40"/>
      <c r="C3278" s="40"/>
      <c r="D3278" s="40"/>
      <c r="E3278" s="40"/>
    </row>
    <row r="3279" spans="1:5" ht="13.2" customHeight="1" x14ac:dyDescent="0.2">
      <c r="A3279" s="40" t="s">
        <v>198</v>
      </c>
      <c r="B3279" s="40"/>
      <c r="C3279" s="40"/>
      <c r="D3279" s="40"/>
      <c r="E3279" s="40"/>
    </row>
    <row r="3280" spans="1:5" ht="10.95" customHeight="1" x14ac:dyDescent="0.2"/>
    <row r="3281" spans="1:5" ht="10.95" customHeight="1" x14ac:dyDescent="0.2">
      <c r="C3281" s="42" t="s">
        <v>3</v>
      </c>
      <c r="D3281" s="42"/>
      <c r="E3281" s="42"/>
    </row>
    <row r="3282" spans="1:5" ht="12" customHeight="1" x14ac:dyDescent="0.2">
      <c r="D3282" s="26" t="s">
        <v>4</v>
      </c>
      <c r="E3282" s="23">
        <v>12688.1</v>
      </c>
    </row>
    <row r="3283" spans="1:5" ht="12" customHeight="1" x14ac:dyDescent="0.2">
      <c r="D3283" s="26" t="s">
        <v>5</v>
      </c>
      <c r="E3283" s="23">
        <v>210.3</v>
      </c>
    </row>
    <row r="3284" spans="1:5" ht="12" customHeight="1" x14ac:dyDescent="0.2">
      <c r="D3284" s="26" t="s">
        <v>6</v>
      </c>
      <c r="E3284" s="30">
        <v>7</v>
      </c>
    </row>
    <row r="3285" spans="1:5" ht="12" customHeight="1" x14ac:dyDescent="0.2">
      <c r="D3285" s="26" t="s">
        <v>7</v>
      </c>
      <c r="E3285" s="30">
        <v>9</v>
      </c>
    </row>
    <row r="3286" spans="1:5" ht="12" customHeight="1" x14ac:dyDescent="0.2">
      <c r="D3286" s="26" t="s">
        <v>8</v>
      </c>
      <c r="E3286" s="30">
        <v>247</v>
      </c>
    </row>
    <row r="3287" spans="1:5" ht="12" customHeight="1" x14ac:dyDescent="0.2">
      <c r="D3287" s="26" t="s">
        <v>9</v>
      </c>
      <c r="E3287" s="30">
        <v>649</v>
      </c>
    </row>
    <row r="3288" spans="1:5" ht="12" customHeight="1" x14ac:dyDescent="0.2">
      <c r="D3288" s="26" t="s">
        <v>10</v>
      </c>
      <c r="E3288" s="30">
        <v>7</v>
      </c>
    </row>
    <row r="3289" spans="1:5" ht="12" customHeight="1" x14ac:dyDescent="0.2">
      <c r="D3289" s="26" t="s">
        <v>11</v>
      </c>
      <c r="E3289" s="30">
        <v>0</v>
      </c>
    </row>
    <row r="3290" spans="1:5" ht="12" customHeight="1" x14ac:dyDescent="0.2">
      <c r="D3290" s="26" t="s">
        <v>12</v>
      </c>
      <c r="E3290" s="30">
        <v>0</v>
      </c>
    </row>
    <row r="3291" spans="1:5" ht="12" customHeight="1" x14ac:dyDescent="0.2">
      <c r="D3291" s="26" t="s">
        <v>13</v>
      </c>
      <c r="E3291" s="30">
        <v>1368</v>
      </c>
    </row>
    <row r="3292" spans="1:5" ht="12" customHeight="1" x14ac:dyDescent="0.25">
      <c r="A3292" s="2" t="s">
        <v>14</v>
      </c>
      <c r="B3292" s="3" t="s">
        <v>169</v>
      </c>
    </row>
    <row r="3293" spans="1:5" ht="10.95" customHeight="1" x14ac:dyDescent="0.2"/>
    <row r="3294" spans="1:5" ht="45" customHeight="1" x14ac:dyDescent="0.2">
      <c r="A3294" s="4" t="s">
        <v>15</v>
      </c>
      <c r="B3294" s="4" t="s">
        <v>131</v>
      </c>
      <c r="C3294" s="27" t="s">
        <v>17</v>
      </c>
      <c r="D3294" s="27" t="s">
        <v>103</v>
      </c>
      <c r="E3294" s="27" t="s">
        <v>19</v>
      </c>
    </row>
    <row r="3295" spans="1:5" ht="31.5" customHeight="1" x14ac:dyDescent="0.2">
      <c r="A3295" s="5">
        <v>1</v>
      </c>
      <c r="B3295" s="6" t="s">
        <v>190</v>
      </c>
      <c r="C3295" s="16"/>
      <c r="D3295" s="16"/>
      <c r="E3295" s="17">
        <f>E3296+E3303</f>
        <v>2447774.2999999998</v>
      </c>
    </row>
    <row r="3296" spans="1:5" ht="15" customHeight="1" x14ac:dyDescent="0.2">
      <c r="A3296" s="7" t="s">
        <v>21</v>
      </c>
      <c r="B3296" s="6" t="s">
        <v>132</v>
      </c>
      <c r="C3296" s="16"/>
      <c r="D3296" s="16"/>
      <c r="E3296" s="17">
        <f>SUM(E3297:E3302)</f>
        <v>973192.35200000007</v>
      </c>
    </row>
    <row r="3297" spans="1:6" ht="11.25" customHeight="1" x14ac:dyDescent="0.2">
      <c r="A3297" s="15" t="s">
        <v>23</v>
      </c>
      <c r="B3297" s="9" t="s">
        <v>34</v>
      </c>
      <c r="C3297" s="16">
        <v>1.56</v>
      </c>
      <c r="D3297" s="16">
        <v>18781</v>
      </c>
      <c r="E3297" s="19">
        <f>ROUND(C3297*D3297,2)*12</f>
        <v>351580.32</v>
      </c>
      <c r="F3297" s="20"/>
    </row>
    <row r="3298" spans="1:6" ht="11.25" customHeight="1" x14ac:dyDescent="0.2">
      <c r="A3298" s="8" t="s">
        <v>31</v>
      </c>
      <c r="B3298" s="9" t="s">
        <v>36</v>
      </c>
      <c r="C3298" s="16">
        <v>1.52</v>
      </c>
      <c r="D3298" s="16">
        <v>18781</v>
      </c>
      <c r="E3298" s="19">
        <f>ROUND(C3298*D3298,2)*12</f>
        <v>342565.44</v>
      </c>
    </row>
    <row r="3299" spans="1:6" ht="11.25" customHeight="1" x14ac:dyDescent="0.2">
      <c r="A3299" s="8" t="s">
        <v>121</v>
      </c>
      <c r="B3299" s="9" t="s">
        <v>38</v>
      </c>
      <c r="C3299" s="16">
        <v>30.2</v>
      </c>
      <c r="D3299" s="16">
        <f>E3297</f>
        <v>351580.32</v>
      </c>
      <c r="E3299" s="19">
        <f>ROUND(C3299*D3299/100,2)</f>
        <v>106177.26</v>
      </c>
    </row>
    <row r="3300" spans="1:6" ht="11.25" customHeight="1" x14ac:dyDescent="0.2">
      <c r="A3300" s="8" t="s">
        <v>186</v>
      </c>
      <c r="B3300" s="9" t="s">
        <v>40</v>
      </c>
      <c r="C3300" s="16">
        <v>30.2</v>
      </c>
      <c r="D3300" s="16">
        <f>E3298</f>
        <v>342565.44</v>
      </c>
      <c r="E3300" s="19">
        <f>ROUND(C3300*D3300/100,2)</f>
        <v>103454.76</v>
      </c>
    </row>
    <row r="3301" spans="1:6" ht="11.25" customHeight="1" x14ac:dyDescent="0.2">
      <c r="A3301" s="8" t="s">
        <v>187</v>
      </c>
      <c r="B3301" s="9" t="s">
        <v>42</v>
      </c>
      <c r="C3301" s="16"/>
      <c r="D3301" s="16"/>
      <c r="E3301" s="19">
        <f>E3297*0.1</f>
        <v>35158.031999999999</v>
      </c>
    </row>
    <row r="3302" spans="1:6" ht="11.25" customHeight="1" x14ac:dyDescent="0.2">
      <c r="A3302" s="8" t="s">
        <v>188</v>
      </c>
      <c r="B3302" s="9" t="s">
        <v>44</v>
      </c>
      <c r="C3302" s="16"/>
      <c r="D3302" s="16"/>
      <c r="E3302" s="19">
        <f>ROUND(E3298*0.1,2)</f>
        <v>34256.54</v>
      </c>
    </row>
    <row r="3303" spans="1:6" ht="15" customHeight="1" x14ac:dyDescent="0.2">
      <c r="A3303" s="7" t="s">
        <v>45</v>
      </c>
      <c r="B3303" s="6" t="s">
        <v>189</v>
      </c>
      <c r="C3303" s="16"/>
      <c r="D3303" s="16"/>
      <c r="E3303" s="17">
        <f>E3304+E3305+E3306+E3307</f>
        <v>1474581.9479999999</v>
      </c>
    </row>
    <row r="3304" spans="1:6" ht="11.25" customHeight="1" x14ac:dyDescent="0.2">
      <c r="A3304" s="8" t="s">
        <v>47</v>
      </c>
      <c r="B3304" s="9" t="s">
        <v>48</v>
      </c>
      <c r="C3304" s="16">
        <v>3.44</v>
      </c>
      <c r="D3304" s="16">
        <v>18781</v>
      </c>
      <c r="E3304" s="19">
        <f>C3304*D3304*12</f>
        <v>775279.67999999993</v>
      </c>
      <c r="F3304" s="20"/>
    </row>
    <row r="3305" spans="1:6" ht="11.25" customHeight="1" x14ac:dyDescent="0.2">
      <c r="A3305" s="8" t="s">
        <v>49</v>
      </c>
      <c r="B3305" s="9" t="s">
        <v>50</v>
      </c>
      <c r="C3305" s="16">
        <v>30.2</v>
      </c>
      <c r="D3305" s="16">
        <f>E3304</f>
        <v>775279.67999999993</v>
      </c>
      <c r="E3305" s="19">
        <f>ROUND(C3305*D3305/100,2)</f>
        <v>234134.46</v>
      </c>
    </row>
    <row r="3306" spans="1:6" ht="11.25" customHeight="1" x14ac:dyDescent="0.2">
      <c r="A3306" s="8" t="s">
        <v>51</v>
      </c>
      <c r="B3306" s="9" t="s">
        <v>52</v>
      </c>
      <c r="C3306" s="16"/>
      <c r="D3306" s="16"/>
      <c r="E3306" s="19">
        <f>E3304*0.5</f>
        <v>387639.83999999997</v>
      </c>
    </row>
    <row r="3307" spans="1:6" ht="11.25" customHeight="1" x14ac:dyDescent="0.2">
      <c r="A3307" s="8" t="s">
        <v>53</v>
      </c>
      <c r="B3307" s="9" t="s">
        <v>54</v>
      </c>
      <c r="C3307" s="16"/>
      <c r="D3307" s="16"/>
      <c r="E3307" s="19">
        <f>E3304*0.1</f>
        <v>77527.967999999993</v>
      </c>
    </row>
    <row r="3308" spans="1:6" ht="20.100000000000001" customHeight="1" x14ac:dyDescent="0.2">
      <c r="A3308" s="5">
        <v>2</v>
      </c>
      <c r="B3308" s="6" t="s">
        <v>57</v>
      </c>
      <c r="C3308" s="16"/>
      <c r="D3308" s="16"/>
      <c r="E3308" s="17">
        <f>E3309+E3311+E3312+E3313+E3314+E3315+E3310</f>
        <v>1041219.53</v>
      </c>
    </row>
    <row r="3309" spans="1:6" ht="11.25" customHeight="1" x14ac:dyDescent="0.2">
      <c r="A3309" s="35" t="s">
        <v>58</v>
      </c>
      <c r="B3309" s="9" t="s">
        <v>204</v>
      </c>
      <c r="C3309" s="16">
        <v>941.05</v>
      </c>
      <c r="D3309" s="16">
        <f>E3309/C3309</f>
        <v>177.97000159396421</v>
      </c>
      <c r="E3309" s="19">
        <v>167478.67000000001</v>
      </c>
    </row>
    <row r="3310" spans="1:6" ht="11.25" customHeight="1" x14ac:dyDescent="0.2">
      <c r="A3310" s="35" t="s">
        <v>60</v>
      </c>
      <c r="B3310" s="9" t="s">
        <v>195</v>
      </c>
      <c r="C3310" s="16">
        <v>941.05</v>
      </c>
      <c r="D3310" s="16">
        <f>E3310/C3310</f>
        <v>219.633430742256</v>
      </c>
      <c r="E3310" s="19">
        <v>206686.04</v>
      </c>
    </row>
    <row r="3311" spans="1:6" ht="11.25" customHeight="1" x14ac:dyDescent="0.2">
      <c r="A3311" s="35" t="s">
        <v>62</v>
      </c>
      <c r="B3311" s="9" t="s">
        <v>196</v>
      </c>
      <c r="C3311" s="16">
        <v>298.54000000000002</v>
      </c>
      <c r="D3311" s="16">
        <f>E3311/C3311</f>
        <v>848.40125276344872</v>
      </c>
      <c r="E3311" s="19">
        <v>253281.71</v>
      </c>
    </row>
    <row r="3312" spans="1:6" ht="11.25" customHeight="1" x14ac:dyDescent="0.2">
      <c r="A3312" s="35" t="s">
        <v>64</v>
      </c>
      <c r="B3312" s="9" t="s">
        <v>63</v>
      </c>
      <c r="C3312" s="16">
        <f>E3312/D3312</f>
        <v>43942.451553930528</v>
      </c>
      <c r="D3312" s="16">
        <v>5.47</v>
      </c>
      <c r="E3312" s="19">
        <f>213330+27035.21</f>
        <v>240365.21</v>
      </c>
      <c r="F3312" s="20"/>
    </row>
    <row r="3313" spans="1:5" ht="11.25" customHeight="1" x14ac:dyDescent="0.2">
      <c r="A3313" s="35" t="s">
        <v>66</v>
      </c>
      <c r="B3313" s="9" t="s">
        <v>65</v>
      </c>
      <c r="C3313" s="16">
        <f>E3313/D3313</f>
        <v>1993.7103215386876</v>
      </c>
      <c r="D3313" s="16">
        <v>68.11</v>
      </c>
      <c r="E3313" s="19">
        <f>111524.13+24267.48</f>
        <v>135791.61000000002</v>
      </c>
    </row>
    <row r="3314" spans="1:5" ht="11.25" customHeight="1" x14ac:dyDescent="0.2">
      <c r="A3314" s="35" t="s">
        <v>68</v>
      </c>
      <c r="B3314" s="9" t="s">
        <v>69</v>
      </c>
      <c r="C3314" s="16">
        <v>1928.4</v>
      </c>
      <c r="D3314" s="16">
        <f>E3314/C3314</f>
        <v>3.35</v>
      </c>
      <c r="E3314" s="19">
        <v>6460.14</v>
      </c>
    </row>
    <row r="3315" spans="1:5" ht="11.25" customHeight="1" x14ac:dyDescent="0.2">
      <c r="A3315" s="35" t="s">
        <v>70</v>
      </c>
      <c r="B3315" s="9" t="s">
        <v>71</v>
      </c>
      <c r="C3315" s="16">
        <v>165.69</v>
      </c>
      <c r="D3315" s="16">
        <f>E3315/C3315</f>
        <v>188.03880741143101</v>
      </c>
      <c r="E3315" s="19">
        <v>31156.15</v>
      </c>
    </row>
    <row r="3316" spans="1:5" ht="20.100000000000001" customHeight="1" x14ac:dyDescent="0.2">
      <c r="A3316" s="5">
        <v>3</v>
      </c>
      <c r="B3316" s="6" t="s">
        <v>72</v>
      </c>
      <c r="C3316" s="16"/>
      <c r="D3316" s="16"/>
      <c r="E3316" s="17">
        <f>E3317+E3318+E3319+E3320+E3321+E3322+E3323+E3324+E3325+E3327+E3326</f>
        <v>530596.24958139914</v>
      </c>
    </row>
    <row r="3317" spans="1:5" ht="11.25" customHeight="1" x14ac:dyDescent="0.2">
      <c r="A3317" s="8" t="s">
        <v>73</v>
      </c>
      <c r="B3317" s="9" t="s">
        <v>74</v>
      </c>
      <c r="C3317" s="34">
        <v>7</v>
      </c>
      <c r="D3317" s="16">
        <f>E3317/C3317/12</f>
        <v>3192.7320238095235</v>
      </c>
      <c r="E3317" s="19">
        <v>268189.49</v>
      </c>
    </row>
    <row r="3318" spans="1:5" ht="11.25" customHeight="1" x14ac:dyDescent="0.2">
      <c r="A3318" s="8" t="s">
        <v>75</v>
      </c>
      <c r="B3318" s="9" t="s">
        <v>76</v>
      </c>
      <c r="C3318" s="16"/>
      <c r="D3318" s="16"/>
      <c r="E3318" s="19">
        <v>0</v>
      </c>
    </row>
    <row r="3319" spans="1:5" ht="11.25" customHeight="1" x14ac:dyDescent="0.2">
      <c r="A3319" s="8" t="s">
        <v>77</v>
      </c>
      <c r="B3319" s="9" t="s">
        <v>78</v>
      </c>
      <c r="C3319" s="16"/>
      <c r="D3319" s="16"/>
      <c r="E3319" s="19">
        <v>0</v>
      </c>
    </row>
    <row r="3320" spans="1:5" ht="11.25" customHeight="1" x14ac:dyDescent="0.2">
      <c r="A3320" s="8" t="s">
        <v>79</v>
      </c>
      <c r="B3320" s="9" t="s">
        <v>80</v>
      </c>
      <c r="C3320" s="16">
        <v>12688.1</v>
      </c>
      <c r="D3320" s="16">
        <f>E3320/C3320</f>
        <v>4.2188546748528148</v>
      </c>
      <c r="E3320" s="19">
        <v>53529.25</v>
      </c>
    </row>
    <row r="3321" spans="1:5" ht="11.25" customHeight="1" x14ac:dyDescent="0.2">
      <c r="A3321" s="8" t="s">
        <v>81</v>
      </c>
      <c r="B3321" s="9" t="s">
        <v>82</v>
      </c>
      <c r="C3321" s="34">
        <v>494</v>
      </c>
      <c r="D3321" s="16">
        <f>E3321/C3321</f>
        <v>71.809817813765193</v>
      </c>
      <c r="E3321" s="19">
        <v>35474.050000000003</v>
      </c>
    </row>
    <row r="3322" spans="1:5" ht="11.25" customHeight="1" x14ac:dyDescent="0.2">
      <c r="A3322" s="8" t="s">
        <v>83</v>
      </c>
      <c r="B3322" s="9" t="s">
        <v>194</v>
      </c>
      <c r="C3322" s="34">
        <v>247</v>
      </c>
      <c r="D3322" s="16">
        <f>E3322/C3322</f>
        <v>80.969797570850204</v>
      </c>
      <c r="E3322" s="19">
        <v>19999.54</v>
      </c>
    </row>
    <row r="3323" spans="1:5" ht="11.25" customHeight="1" x14ac:dyDescent="0.2">
      <c r="A3323" s="8" t="s">
        <v>85</v>
      </c>
      <c r="B3323" s="9" t="s">
        <v>86</v>
      </c>
      <c r="C3323" s="34"/>
      <c r="D3323" s="16"/>
      <c r="E3323" s="19">
        <v>0</v>
      </c>
    </row>
    <row r="3324" spans="1:5" ht="11.25" customHeight="1" x14ac:dyDescent="0.2">
      <c r="A3324" s="8" t="s">
        <v>87</v>
      </c>
      <c r="B3324" s="9" t="s">
        <v>88</v>
      </c>
      <c r="C3324" s="34">
        <v>247</v>
      </c>
      <c r="D3324" s="16">
        <f>E3324/C3324</f>
        <v>542.57979757085013</v>
      </c>
      <c r="E3324" s="19">
        <v>134017.21</v>
      </c>
    </row>
    <row r="3325" spans="1:5" ht="11.25" customHeight="1" x14ac:dyDescent="0.2">
      <c r="A3325" s="8" t="s">
        <v>89</v>
      </c>
      <c r="B3325" s="9" t="s">
        <v>90</v>
      </c>
      <c r="C3325" s="16"/>
      <c r="D3325" s="16"/>
      <c r="E3325" s="19">
        <v>0</v>
      </c>
    </row>
    <row r="3326" spans="1:5" ht="11.25" customHeight="1" x14ac:dyDescent="0.2">
      <c r="A3326" s="8" t="s">
        <v>91</v>
      </c>
      <c r="B3326" s="9" t="s">
        <v>202</v>
      </c>
      <c r="C3326" s="34">
        <v>7</v>
      </c>
      <c r="D3326" s="16">
        <f>E3326/C3326</f>
        <v>2769.5299401998959</v>
      </c>
      <c r="E3326" s="19">
        <f>2826.16*7*1.2*0.81663515754</f>
        <v>19386.709581399271</v>
      </c>
    </row>
    <row r="3327" spans="1:5" ht="11.25" customHeight="1" x14ac:dyDescent="0.2">
      <c r="A3327" s="8" t="s">
        <v>203</v>
      </c>
      <c r="B3327" s="9" t="s">
        <v>92</v>
      </c>
      <c r="C3327" s="16"/>
      <c r="D3327" s="16"/>
      <c r="E3327" s="19">
        <v>0</v>
      </c>
    </row>
    <row r="3328" spans="1:5" ht="15" customHeight="1" x14ac:dyDescent="0.2">
      <c r="A3328" s="5">
        <v>4</v>
      </c>
      <c r="B3328" s="6" t="s">
        <v>193</v>
      </c>
      <c r="C3328" s="16"/>
      <c r="D3328" s="16"/>
      <c r="E3328" s="17">
        <f>F3329/1.1*0.1</f>
        <v>401959.00799999991</v>
      </c>
    </row>
    <row r="3329" spans="1:6" ht="18.75" customHeight="1" x14ac:dyDescent="0.2">
      <c r="A3329" s="10"/>
      <c r="B3329" s="11" t="s">
        <v>94</v>
      </c>
      <c r="C3329" s="21"/>
      <c r="D3329" s="21"/>
      <c r="E3329" s="17">
        <f>E3295+E3308+E3316+E3328</f>
        <v>4421549.0875813998</v>
      </c>
      <c r="F3329" s="25">
        <f>E3282*29.04*12</f>
        <v>4421549.0879999995</v>
      </c>
    </row>
    <row r="3330" spans="1:6" ht="15" customHeight="1" x14ac:dyDescent="0.25">
      <c r="A3330" s="10"/>
      <c r="B3330" s="11" t="s">
        <v>199</v>
      </c>
      <c r="C3330" s="21"/>
      <c r="D3330" s="21"/>
      <c r="E3330" s="22">
        <v>29.04</v>
      </c>
    </row>
    <row r="3331" spans="1:6" ht="10.95" customHeight="1" x14ac:dyDescent="0.2"/>
    <row r="3332" spans="1:6" ht="10.95" customHeight="1" x14ac:dyDescent="0.2"/>
    <row r="3333" spans="1:6" ht="10.95" customHeight="1" x14ac:dyDescent="0.2"/>
    <row r="3334" spans="1:6" ht="15" customHeight="1" x14ac:dyDescent="0.25">
      <c r="B3334" s="12" t="s">
        <v>96</v>
      </c>
    </row>
    <row r="3335" spans="1:6" ht="12" customHeight="1" x14ac:dyDescent="0.2"/>
    <row r="3336" spans="1:6" ht="13.2" customHeight="1" x14ac:dyDescent="0.25">
      <c r="B3336" s="3" t="s">
        <v>97</v>
      </c>
    </row>
    <row r="3337" spans="1:6" ht="7.95" customHeight="1" x14ac:dyDescent="0.2"/>
    <row r="3338" spans="1:6" ht="12" customHeight="1" x14ac:dyDescent="0.25">
      <c r="B3338" s="41" t="s">
        <v>100</v>
      </c>
      <c r="C3338" s="41"/>
      <c r="D3338" s="41"/>
      <c r="E3338" s="41"/>
    </row>
    <row r="3339" spans="1:6" ht="10.95" customHeight="1" x14ac:dyDescent="0.2"/>
    <row r="3340" spans="1:6" ht="10.95" customHeight="1" x14ac:dyDescent="0.2"/>
    <row r="3341" spans="1:6" ht="10.95" customHeight="1" x14ac:dyDescent="0.2"/>
    <row r="3342" spans="1:6" ht="16.2" customHeight="1" x14ac:dyDescent="0.2">
      <c r="A3342" s="39" t="s">
        <v>0</v>
      </c>
      <c r="B3342" s="39"/>
      <c r="C3342" s="39"/>
      <c r="D3342" s="39"/>
      <c r="E3342" s="39"/>
    </row>
    <row r="3343" spans="1:6" ht="10.95" customHeight="1" x14ac:dyDescent="0.2">
      <c r="A3343" s="40" t="s">
        <v>1</v>
      </c>
      <c r="B3343" s="40"/>
      <c r="C3343" s="40"/>
      <c r="D3343" s="40"/>
      <c r="E3343" s="40"/>
    </row>
    <row r="3344" spans="1:6" ht="13.2" customHeight="1" x14ac:dyDescent="0.2">
      <c r="A3344" s="40" t="s">
        <v>198</v>
      </c>
      <c r="B3344" s="40"/>
      <c r="C3344" s="40"/>
      <c r="D3344" s="40"/>
      <c r="E3344" s="40"/>
    </row>
    <row r="3345" spans="1:5" ht="10.95" customHeight="1" x14ac:dyDescent="0.2"/>
    <row r="3346" spans="1:5" ht="10.95" customHeight="1" x14ac:dyDescent="0.2">
      <c r="C3346" s="42" t="s">
        <v>3</v>
      </c>
      <c r="D3346" s="42"/>
      <c r="E3346" s="42"/>
    </row>
    <row r="3347" spans="1:5" ht="12" customHeight="1" x14ac:dyDescent="0.2">
      <c r="D3347" s="26" t="s">
        <v>4</v>
      </c>
      <c r="E3347" s="31">
        <v>10535.8</v>
      </c>
    </row>
    <row r="3348" spans="1:5" ht="12" customHeight="1" x14ac:dyDescent="0.2">
      <c r="D3348" s="26" t="s">
        <v>5</v>
      </c>
      <c r="E3348" s="32">
        <v>263.2</v>
      </c>
    </row>
    <row r="3349" spans="1:5" ht="12" customHeight="1" x14ac:dyDescent="0.2">
      <c r="D3349" s="26" t="s">
        <v>6</v>
      </c>
      <c r="E3349" s="30">
        <v>6</v>
      </c>
    </row>
    <row r="3350" spans="1:5" ht="12" customHeight="1" x14ac:dyDescent="0.2">
      <c r="D3350" s="26" t="s">
        <v>7</v>
      </c>
      <c r="E3350" s="30">
        <v>9</v>
      </c>
    </row>
    <row r="3351" spans="1:5" ht="12" customHeight="1" x14ac:dyDescent="0.2">
      <c r="D3351" s="26" t="s">
        <v>8</v>
      </c>
      <c r="E3351" s="30">
        <v>215</v>
      </c>
    </row>
    <row r="3352" spans="1:5" ht="12" customHeight="1" x14ac:dyDescent="0.2">
      <c r="D3352" s="26" t="s">
        <v>9</v>
      </c>
      <c r="E3352" s="30">
        <v>548</v>
      </c>
    </row>
    <row r="3353" spans="1:5" ht="12" customHeight="1" x14ac:dyDescent="0.2">
      <c r="D3353" s="26" t="s">
        <v>10</v>
      </c>
      <c r="E3353" s="30">
        <v>6</v>
      </c>
    </row>
    <row r="3354" spans="1:5" ht="12" customHeight="1" x14ac:dyDescent="0.2">
      <c r="D3354" s="26" t="s">
        <v>11</v>
      </c>
      <c r="E3354" s="30">
        <v>0</v>
      </c>
    </row>
    <row r="3355" spans="1:5" ht="12" customHeight="1" x14ac:dyDescent="0.2">
      <c r="D3355" s="26" t="s">
        <v>12</v>
      </c>
      <c r="E3355" s="30">
        <v>0</v>
      </c>
    </row>
    <row r="3356" spans="1:5" ht="12" customHeight="1" x14ac:dyDescent="0.2">
      <c r="D3356" s="26" t="s">
        <v>13</v>
      </c>
      <c r="E3356" s="32">
        <v>1129</v>
      </c>
    </row>
    <row r="3357" spans="1:5" ht="12" customHeight="1" x14ac:dyDescent="0.25">
      <c r="A3357" s="2" t="s">
        <v>14</v>
      </c>
      <c r="B3357" s="3" t="s">
        <v>104</v>
      </c>
    </row>
    <row r="3358" spans="1:5" ht="10.95" customHeight="1" x14ac:dyDescent="0.2"/>
    <row r="3359" spans="1:5" ht="45" customHeight="1" x14ac:dyDescent="0.2">
      <c r="A3359" s="4" t="s">
        <v>15</v>
      </c>
      <c r="B3359" s="4" t="s">
        <v>131</v>
      </c>
      <c r="C3359" s="27" t="s">
        <v>17</v>
      </c>
      <c r="D3359" s="27" t="s">
        <v>103</v>
      </c>
      <c r="E3359" s="27" t="s">
        <v>19</v>
      </c>
    </row>
    <row r="3360" spans="1:5" ht="31.5" customHeight="1" x14ac:dyDescent="0.2">
      <c r="A3360" s="5">
        <v>1</v>
      </c>
      <c r="B3360" s="6" t="s">
        <v>190</v>
      </c>
      <c r="C3360" s="16"/>
      <c r="D3360" s="16"/>
      <c r="E3360" s="17">
        <f>E3361+E3368</f>
        <v>2063726.8880000003</v>
      </c>
    </row>
    <row r="3361" spans="1:6" ht="15" customHeight="1" x14ac:dyDescent="0.2">
      <c r="A3361" s="7" t="s">
        <v>21</v>
      </c>
      <c r="B3361" s="6" t="s">
        <v>132</v>
      </c>
      <c r="C3361" s="16"/>
      <c r="D3361" s="16"/>
      <c r="E3361" s="17">
        <f>SUM(E3362:E3367)</f>
        <v>812046.86400000018</v>
      </c>
    </row>
    <row r="3362" spans="1:6" ht="11.25" customHeight="1" x14ac:dyDescent="0.2">
      <c r="A3362" s="15" t="s">
        <v>23</v>
      </c>
      <c r="B3362" s="9" t="s">
        <v>34</v>
      </c>
      <c r="C3362" s="16">
        <v>1.29</v>
      </c>
      <c r="D3362" s="16">
        <v>18781</v>
      </c>
      <c r="E3362" s="19">
        <f>ROUND(C3362*D3362,2)*12</f>
        <v>290729.88</v>
      </c>
      <c r="F3362" s="20"/>
    </row>
    <row r="3363" spans="1:6" ht="11.25" customHeight="1" x14ac:dyDescent="0.2">
      <c r="A3363" s="8" t="s">
        <v>31</v>
      </c>
      <c r="B3363" s="9" t="s">
        <v>36</v>
      </c>
      <c r="C3363" s="16">
        <v>1.28</v>
      </c>
      <c r="D3363" s="16">
        <v>18781</v>
      </c>
      <c r="E3363" s="19">
        <f>ROUND(C3363*D3363,2)*12</f>
        <v>288476.16000000003</v>
      </c>
    </row>
    <row r="3364" spans="1:6" ht="11.25" customHeight="1" x14ac:dyDescent="0.2">
      <c r="A3364" s="8" t="s">
        <v>121</v>
      </c>
      <c r="B3364" s="9" t="s">
        <v>38</v>
      </c>
      <c r="C3364" s="16">
        <v>30.2</v>
      </c>
      <c r="D3364" s="16">
        <f>E3362</f>
        <v>290729.88</v>
      </c>
      <c r="E3364" s="19">
        <f>ROUND(C3364*D3364/100,2)</f>
        <v>87800.42</v>
      </c>
    </row>
    <row r="3365" spans="1:6" ht="11.25" customHeight="1" x14ac:dyDescent="0.2">
      <c r="A3365" s="8" t="s">
        <v>186</v>
      </c>
      <c r="B3365" s="9" t="s">
        <v>40</v>
      </c>
      <c r="C3365" s="16">
        <v>30.2</v>
      </c>
      <c r="D3365" s="16">
        <f>E3363</f>
        <v>288476.16000000003</v>
      </c>
      <c r="E3365" s="19">
        <f>ROUND(C3365*D3365/100,2)</f>
        <v>87119.8</v>
      </c>
    </row>
    <row r="3366" spans="1:6" ht="11.25" customHeight="1" x14ac:dyDescent="0.2">
      <c r="A3366" s="8" t="s">
        <v>187</v>
      </c>
      <c r="B3366" s="9" t="s">
        <v>42</v>
      </c>
      <c r="C3366" s="16"/>
      <c r="D3366" s="16"/>
      <c r="E3366" s="19">
        <f>E3362*0.1</f>
        <v>29072.988000000001</v>
      </c>
    </row>
    <row r="3367" spans="1:6" ht="11.25" customHeight="1" x14ac:dyDescent="0.2">
      <c r="A3367" s="8" t="s">
        <v>188</v>
      </c>
      <c r="B3367" s="9" t="s">
        <v>44</v>
      </c>
      <c r="C3367" s="16"/>
      <c r="D3367" s="16"/>
      <c r="E3367" s="19">
        <f>E3363*0.1</f>
        <v>28847.616000000005</v>
      </c>
    </row>
    <row r="3368" spans="1:6" ht="15" customHeight="1" x14ac:dyDescent="0.2">
      <c r="A3368" s="7" t="s">
        <v>45</v>
      </c>
      <c r="B3368" s="6" t="s">
        <v>189</v>
      </c>
      <c r="C3368" s="16"/>
      <c r="D3368" s="16"/>
      <c r="E3368" s="17">
        <f>E3369+E3370+E3371+E3372</f>
        <v>1251680.024</v>
      </c>
    </row>
    <row r="3369" spans="1:6" ht="11.25" customHeight="1" x14ac:dyDescent="0.2">
      <c r="A3369" s="8" t="s">
        <v>47</v>
      </c>
      <c r="B3369" s="9" t="s">
        <v>48</v>
      </c>
      <c r="C3369" s="16">
        <v>2.92</v>
      </c>
      <c r="D3369" s="16">
        <v>18781</v>
      </c>
      <c r="E3369" s="19">
        <f>C3369*D3369*12</f>
        <v>658086.24</v>
      </c>
      <c r="F3369" s="20"/>
    </row>
    <row r="3370" spans="1:6" ht="11.25" customHeight="1" x14ac:dyDescent="0.2">
      <c r="A3370" s="8" t="s">
        <v>49</v>
      </c>
      <c r="B3370" s="9" t="s">
        <v>50</v>
      </c>
      <c r="C3370" s="16">
        <v>30.2</v>
      </c>
      <c r="D3370" s="16">
        <f>E3369</f>
        <v>658086.24</v>
      </c>
      <c r="E3370" s="19">
        <f>ROUND(C3370*D3370/100,2)</f>
        <v>198742.04</v>
      </c>
    </row>
    <row r="3371" spans="1:6" ht="11.25" customHeight="1" x14ac:dyDescent="0.2">
      <c r="A3371" s="8" t="s">
        <v>51</v>
      </c>
      <c r="B3371" s="9" t="s">
        <v>52</v>
      </c>
      <c r="C3371" s="16"/>
      <c r="D3371" s="16"/>
      <c r="E3371" s="19">
        <f>E3369*0.5</f>
        <v>329043.12</v>
      </c>
    </row>
    <row r="3372" spans="1:6" ht="11.25" customHeight="1" x14ac:dyDescent="0.2">
      <c r="A3372" s="8" t="s">
        <v>53</v>
      </c>
      <c r="B3372" s="9" t="s">
        <v>54</v>
      </c>
      <c r="C3372" s="16"/>
      <c r="D3372" s="16"/>
      <c r="E3372" s="19">
        <f>E3369*0.1</f>
        <v>65808.623999999996</v>
      </c>
    </row>
    <row r="3373" spans="1:6" ht="20.100000000000001" customHeight="1" x14ac:dyDescent="0.2">
      <c r="A3373" s="5">
        <v>2</v>
      </c>
      <c r="B3373" s="6" t="s">
        <v>57</v>
      </c>
      <c r="C3373" s="16"/>
      <c r="D3373" s="16"/>
      <c r="E3373" s="17">
        <f>E3374+E3376+E3377+E3378+E3379+E3380+E3375</f>
        <v>829662.25999999989</v>
      </c>
    </row>
    <row r="3374" spans="1:6" ht="11.25" customHeight="1" x14ac:dyDescent="0.2">
      <c r="A3374" s="35" t="s">
        <v>58</v>
      </c>
      <c r="B3374" s="9" t="s">
        <v>204</v>
      </c>
      <c r="C3374" s="16">
        <v>794.6</v>
      </c>
      <c r="D3374" s="16">
        <f>E3374/C3374</f>
        <v>177.9699974830103</v>
      </c>
      <c r="E3374" s="19">
        <v>141414.96</v>
      </c>
    </row>
    <row r="3375" spans="1:6" ht="11.25" customHeight="1" x14ac:dyDescent="0.2">
      <c r="A3375" s="35" t="s">
        <v>60</v>
      </c>
      <c r="B3375" s="9" t="s">
        <v>195</v>
      </c>
      <c r="C3375" s="16">
        <v>794.6</v>
      </c>
      <c r="D3375" s="16">
        <f>E3375/C3375</f>
        <v>219.63343820790337</v>
      </c>
      <c r="E3375" s="19">
        <v>174520.73</v>
      </c>
    </row>
    <row r="3376" spans="1:6" ht="11.25" customHeight="1" x14ac:dyDescent="0.2">
      <c r="A3376" s="35" t="s">
        <v>62</v>
      </c>
      <c r="B3376" s="9" t="s">
        <v>196</v>
      </c>
      <c r="C3376" s="16">
        <v>252.08</v>
      </c>
      <c r="D3376" s="16">
        <f>E3376/C3376</f>
        <v>848.40126150428432</v>
      </c>
      <c r="E3376" s="19">
        <v>213864.99</v>
      </c>
    </row>
    <row r="3377" spans="1:6" ht="11.25" customHeight="1" x14ac:dyDescent="0.2">
      <c r="A3377" s="35" t="s">
        <v>64</v>
      </c>
      <c r="B3377" s="9" t="s">
        <v>63</v>
      </c>
      <c r="C3377" s="16">
        <f>E3377/D3377</f>
        <v>29892.912248628883</v>
      </c>
      <c r="D3377" s="16">
        <v>5.47</v>
      </c>
      <c r="E3377" s="19">
        <f>142220+493.55+20800.68</f>
        <v>163514.22999999998</v>
      </c>
      <c r="F3377" s="20"/>
    </row>
    <row r="3378" spans="1:6" ht="11.25" customHeight="1" x14ac:dyDescent="0.2">
      <c r="A3378" s="35" t="s">
        <v>66</v>
      </c>
      <c r="B3378" s="9" t="s">
        <v>65</v>
      </c>
      <c r="C3378" s="16">
        <f>E3378/D3378</f>
        <v>1530.9257084128617</v>
      </c>
      <c r="D3378" s="16">
        <v>68.11</v>
      </c>
      <c r="E3378" s="19">
        <v>104271.35</v>
      </c>
    </row>
    <row r="3379" spans="1:6" ht="11.25" customHeight="1" x14ac:dyDescent="0.2">
      <c r="A3379" s="35" t="s">
        <v>68</v>
      </c>
      <c r="B3379" s="9" t="s">
        <v>69</v>
      </c>
      <c r="C3379" s="16">
        <v>1603.2</v>
      </c>
      <c r="D3379" s="16">
        <f>E3379/C3379</f>
        <v>3.35</v>
      </c>
      <c r="E3379" s="19">
        <v>5370.72</v>
      </c>
    </row>
    <row r="3380" spans="1:6" ht="11.25" customHeight="1" x14ac:dyDescent="0.2">
      <c r="A3380" s="35" t="s">
        <v>70</v>
      </c>
      <c r="B3380" s="9" t="s">
        <v>71</v>
      </c>
      <c r="C3380" s="16">
        <v>142.02000000000001</v>
      </c>
      <c r="D3380" s="16">
        <f>E3380/C3380</f>
        <v>188.03886776510348</v>
      </c>
      <c r="E3380" s="19">
        <v>26705.279999999999</v>
      </c>
    </row>
    <row r="3381" spans="1:6" ht="20.100000000000001" customHeight="1" x14ac:dyDescent="0.2">
      <c r="A3381" s="5">
        <v>3</v>
      </c>
      <c r="B3381" s="6" t="s">
        <v>72</v>
      </c>
      <c r="C3381" s="16"/>
      <c r="D3381" s="16"/>
      <c r="E3381" s="17">
        <f>E3382+E3383+E3384+E3385+E3386+E3387+E3388+E3389+E3390+E3392+E3391</f>
        <v>444352.28964119934</v>
      </c>
    </row>
    <row r="3382" spans="1:6" ht="11.25" customHeight="1" x14ac:dyDescent="0.2">
      <c r="A3382" s="8" t="s">
        <v>73</v>
      </c>
      <c r="B3382" s="9" t="s">
        <v>74</v>
      </c>
      <c r="C3382" s="34">
        <v>6</v>
      </c>
      <c r="D3382" s="16">
        <f>E3382/C3382/12</f>
        <v>3064.0080555555555</v>
      </c>
      <c r="E3382" s="19">
        <v>220608.58</v>
      </c>
    </row>
    <row r="3383" spans="1:6" ht="11.25" customHeight="1" x14ac:dyDescent="0.2">
      <c r="A3383" s="8" t="s">
        <v>75</v>
      </c>
      <c r="B3383" s="9" t="s">
        <v>76</v>
      </c>
      <c r="C3383" s="16"/>
      <c r="D3383" s="16"/>
      <c r="E3383" s="19">
        <v>0</v>
      </c>
    </row>
    <row r="3384" spans="1:6" ht="11.25" customHeight="1" x14ac:dyDescent="0.2">
      <c r="A3384" s="8" t="s">
        <v>77</v>
      </c>
      <c r="B3384" s="9" t="s">
        <v>78</v>
      </c>
      <c r="C3384" s="16"/>
      <c r="D3384" s="16"/>
      <c r="E3384" s="19">
        <v>0</v>
      </c>
    </row>
    <row r="3385" spans="1:6" ht="11.25" customHeight="1" x14ac:dyDescent="0.2">
      <c r="A3385" s="8" t="s">
        <v>79</v>
      </c>
      <c r="B3385" s="9" t="s">
        <v>80</v>
      </c>
      <c r="C3385" s="16">
        <v>10535.8</v>
      </c>
      <c r="D3385" s="16">
        <f>E3385/C3385</f>
        <v>4.2537443763169387</v>
      </c>
      <c r="E3385" s="19">
        <v>44816.6</v>
      </c>
    </row>
    <row r="3386" spans="1:6" ht="11.25" customHeight="1" x14ac:dyDescent="0.2">
      <c r="A3386" s="8" t="s">
        <v>81</v>
      </c>
      <c r="B3386" s="9" t="s">
        <v>82</v>
      </c>
      <c r="C3386" s="34">
        <v>430</v>
      </c>
      <c r="D3386" s="16">
        <f>E3386/C3386</f>
        <v>71.707116279069766</v>
      </c>
      <c r="E3386" s="19">
        <v>30834.06</v>
      </c>
    </row>
    <row r="3387" spans="1:6" ht="11.25" customHeight="1" x14ac:dyDescent="0.2">
      <c r="A3387" s="8" t="s">
        <v>83</v>
      </c>
      <c r="B3387" s="9" t="s">
        <v>194</v>
      </c>
      <c r="C3387" s="34">
        <v>215</v>
      </c>
      <c r="D3387" s="16">
        <f>E3387/C3387</f>
        <v>86.248418604651164</v>
      </c>
      <c r="E3387" s="19">
        <v>18543.41</v>
      </c>
    </row>
    <row r="3388" spans="1:6" ht="11.25" customHeight="1" x14ac:dyDescent="0.2">
      <c r="A3388" s="8" t="s">
        <v>85</v>
      </c>
      <c r="B3388" s="9" t="s">
        <v>86</v>
      </c>
      <c r="C3388" s="34"/>
      <c r="D3388" s="16"/>
      <c r="E3388" s="19">
        <v>0</v>
      </c>
    </row>
    <row r="3389" spans="1:6" ht="11.25" customHeight="1" x14ac:dyDescent="0.2">
      <c r="A3389" s="8" t="s">
        <v>87</v>
      </c>
      <c r="B3389" s="9" t="s">
        <v>88</v>
      </c>
      <c r="C3389" s="34">
        <v>215</v>
      </c>
      <c r="D3389" s="16">
        <f>E3389/C3389</f>
        <v>525.26725581395351</v>
      </c>
      <c r="E3389" s="19">
        <v>112932.46</v>
      </c>
    </row>
    <row r="3390" spans="1:6" ht="11.25" customHeight="1" x14ac:dyDescent="0.2">
      <c r="A3390" s="8" t="s">
        <v>89</v>
      </c>
      <c r="B3390" s="9" t="s">
        <v>90</v>
      </c>
      <c r="C3390" s="16"/>
      <c r="D3390" s="16"/>
      <c r="E3390" s="19">
        <v>0</v>
      </c>
    </row>
    <row r="3391" spans="1:6" ht="11.25" customHeight="1" x14ac:dyDescent="0.2">
      <c r="A3391" s="8" t="s">
        <v>91</v>
      </c>
      <c r="B3391" s="9" t="s">
        <v>202</v>
      </c>
      <c r="C3391" s="34">
        <v>6</v>
      </c>
      <c r="D3391" s="16">
        <f>E3391/C3391</f>
        <v>2769.5299401998959</v>
      </c>
      <c r="E3391" s="19">
        <f>2826.16*6*1.2*0.81663515754</f>
        <v>16617.179641199375</v>
      </c>
    </row>
    <row r="3392" spans="1:6" ht="11.25" customHeight="1" x14ac:dyDescent="0.2">
      <c r="A3392" s="8" t="s">
        <v>203</v>
      </c>
      <c r="B3392" s="9" t="s">
        <v>92</v>
      </c>
      <c r="C3392" s="16"/>
      <c r="D3392" s="16"/>
      <c r="E3392" s="19">
        <v>0</v>
      </c>
    </row>
    <row r="3393" spans="1:6" ht="15" customHeight="1" x14ac:dyDescent="0.2">
      <c r="A3393" s="5">
        <v>4</v>
      </c>
      <c r="B3393" s="6" t="s">
        <v>193</v>
      </c>
      <c r="C3393" s="16"/>
      <c r="D3393" s="16"/>
      <c r="E3393" s="17">
        <f>F3394/1.1*0.1</f>
        <v>333774.14399999997</v>
      </c>
    </row>
    <row r="3394" spans="1:6" ht="18.75" customHeight="1" x14ac:dyDescent="0.2">
      <c r="A3394" s="10"/>
      <c r="B3394" s="11" t="s">
        <v>94</v>
      </c>
      <c r="C3394" s="21"/>
      <c r="D3394" s="21"/>
      <c r="E3394" s="17">
        <f>E3360+E3373+E3381+E3393</f>
        <v>3671515.5816411991</v>
      </c>
      <c r="F3394" s="25">
        <f>E3347*29.04*12</f>
        <v>3671515.5839999998</v>
      </c>
    </row>
    <row r="3395" spans="1:6" ht="15" customHeight="1" x14ac:dyDescent="0.25">
      <c r="A3395" s="10"/>
      <c r="B3395" s="11" t="s">
        <v>199</v>
      </c>
      <c r="C3395" s="21"/>
      <c r="D3395" s="21"/>
      <c r="E3395" s="22">
        <v>29.04</v>
      </c>
    </row>
    <row r="3396" spans="1:6" ht="10.95" customHeight="1" x14ac:dyDescent="0.2"/>
    <row r="3397" spans="1:6" ht="10.95" customHeight="1" x14ac:dyDescent="0.2"/>
    <row r="3398" spans="1:6" ht="10.95" customHeight="1" x14ac:dyDescent="0.2"/>
    <row r="3399" spans="1:6" ht="15" customHeight="1" x14ac:dyDescent="0.25">
      <c r="B3399" s="12" t="s">
        <v>96</v>
      </c>
    </row>
    <row r="3400" spans="1:6" ht="12" customHeight="1" x14ac:dyDescent="0.2"/>
    <row r="3401" spans="1:6" ht="13.2" customHeight="1" x14ac:dyDescent="0.25">
      <c r="B3401" s="3" t="s">
        <v>97</v>
      </c>
    </row>
    <row r="3402" spans="1:6" ht="7.95" customHeight="1" x14ac:dyDescent="0.2"/>
    <row r="3403" spans="1:6" ht="12" customHeight="1" x14ac:dyDescent="0.25">
      <c r="B3403" s="41" t="s">
        <v>100</v>
      </c>
      <c r="C3403" s="41"/>
      <c r="D3403" s="41"/>
      <c r="E3403" s="41"/>
    </row>
    <row r="3404" spans="1:6" ht="10.95" customHeight="1" x14ac:dyDescent="0.2"/>
    <row r="3405" spans="1:6" ht="10.95" customHeight="1" x14ac:dyDescent="0.2"/>
    <row r="3406" spans="1:6" ht="10.95" customHeight="1" x14ac:dyDescent="0.2"/>
    <row r="3407" spans="1:6" ht="16.2" customHeight="1" x14ac:dyDescent="0.2">
      <c r="A3407" s="39" t="s">
        <v>0</v>
      </c>
      <c r="B3407" s="39"/>
      <c r="C3407" s="39"/>
      <c r="D3407" s="39"/>
      <c r="E3407" s="39"/>
    </row>
    <row r="3408" spans="1:6" ht="10.95" customHeight="1" x14ac:dyDescent="0.2">
      <c r="A3408" s="40" t="s">
        <v>1</v>
      </c>
      <c r="B3408" s="40"/>
      <c r="C3408" s="40"/>
      <c r="D3408" s="40"/>
      <c r="E3408" s="40"/>
    </row>
    <row r="3409" spans="1:5" ht="13.2" customHeight="1" x14ac:dyDescent="0.2">
      <c r="A3409" s="40" t="s">
        <v>198</v>
      </c>
      <c r="B3409" s="40"/>
      <c r="C3409" s="40"/>
      <c r="D3409" s="40"/>
      <c r="E3409" s="40"/>
    </row>
    <row r="3410" spans="1:5" ht="10.95" customHeight="1" x14ac:dyDescent="0.2"/>
    <row r="3411" spans="1:5" ht="10.95" customHeight="1" x14ac:dyDescent="0.2">
      <c r="C3411" s="42" t="s">
        <v>3</v>
      </c>
      <c r="D3411" s="42"/>
      <c r="E3411" s="42"/>
    </row>
    <row r="3412" spans="1:5" ht="12" customHeight="1" x14ac:dyDescent="0.2">
      <c r="D3412" s="26" t="s">
        <v>4</v>
      </c>
      <c r="E3412" s="24">
        <v>10464.1</v>
      </c>
    </row>
    <row r="3413" spans="1:5" ht="12" customHeight="1" x14ac:dyDescent="0.2">
      <c r="D3413" s="26" t="s">
        <v>5</v>
      </c>
      <c r="E3413" s="23">
        <v>322.5</v>
      </c>
    </row>
    <row r="3414" spans="1:5" ht="12" customHeight="1" x14ac:dyDescent="0.2">
      <c r="D3414" s="26" t="s">
        <v>6</v>
      </c>
      <c r="E3414" s="30">
        <v>6</v>
      </c>
    </row>
    <row r="3415" spans="1:5" ht="12" customHeight="1" x14ac:dyDescent="0.2">
      <c r="D3415" s="26" t="s">
        <v>7</v>
      </c>
      <c r="E3415" s="30">
        <v>9</v>
      </c>
    </row>
    <row r="3416" spans="1:5" ht="12" customHeight="1" x14ac:dyDescent="0.2">
      <c r="D3416" s="26" t="s">
        <v>8</v>
      </c>
      <c r="E3416" s="30">
        <v>212</v>
      </c>
    </row>
    <row r="3417" spans="1:5" ht="12" customHeight="1" x14ac:dyDescent="0.2">
      <c r="D3417" s="26" t="s">
        <v>9</v>
      </c>
      <c r="E3417" s="30">
        <v>507</v>
      </c>
    </row>
    <row r="3418" spans="1:5" ht="12" customHeight="1" x14ac:dyDescent="0.2">
      <c r="D3418" s="26" t="s">
        <v>10</v>
      </c>
      <c r="E3418" s="30">
        <v>6</v>
      </c>
    </row>
    <row r="3419" spans="1:5" ht="12" customHeight="1" x14ac:dyDescent="0.2">
      <c r="D3419" s="26" t="s">
        <v>11</v>
      </c>
      <c r="E3419" s="30">
        <v>0</v>
      </c>
    </row>
    <row r="3420" spans="1:5" ht="12" customHeight="1" x14ac:dyDescent="0.2">
      <c r="D3420" s="26" t="s">
        <v>12</v>
      </c>
      <c r="E3420" s="30">
        <v>0</v>
      </c>
    </row>
    <row r="3421" spans="1:5" ht="12" customHeight="1" x14ac:dyDescent="0.2">
      <c r="D3421" s="26" t="s">
        <v>13</v>
      </c>
      <c r="E3421" s="30">
        <v>1101</v>
      </c>
    </row>
    <row r="3422" spans="1:5" ht="12" customHeight="1" x14ac:dyDescent="0.25">
      <c r="A3422" s="2" t="s">
        <v>14</v>
      </c>
      <c r="B3422" s="3" t="s">
        <v>170</v>
      </c>
    </row>
    <row r="3423" spans="1:5" ht="10.95" customHeight="1" x14ac:dyDescent="0.2"/>
    <row r="3424" spans="1:5" ht="45" customHeight="1" x14ac:dyDescent="0.2">
      <c r="A3424" s="4" t="s">
        <v>15</v>
      </c>
      <c r="B3424" s="4" t="s">
        <v>131</v>
      </c>
      <c r="C3424" s="27" t="s">
        <v>17</v>
      </c>
      <c r="D3424" s="27" t="s">
        <v>103</v>
      </c>
      <c r="E3424" s="27" t="s">
        <v>19</v>
      </c>
    </row>
    <row r="3425" spans="1:6" ht="31.5" customHeight="1" x14ac:dyDescent="0.2">
      <c r="A3425" s="5">
        <v>1</v>
      </c>
      <c r="B3425" s="6" t="s">
        <v>190</v>
      </c>
      <c r="C3425" s="16"/>
      <c r="D3425" s="16"/>
      <c r="E3425" s="17">
        <f>E3426+E3433</f>
        <v>2008664.0079999999</v>
      </c>
    </row>
    <row r="3426" spans="1:6" ht="15" customHeight="1" x14ac:dyDescent="0.2">
      <c r="A3426" s="7" t="s">
        <v>21</v>
      </c>
      <c r="B3426" s="6" t="s">
        <v>132</v>
      </c>
      <c r="C3426" s="16"/>
      <c r="D3426" s="16"/>
      <c r="E3426" s="17">
        <f>SUM(E3427:E3432)</f>
        <v>774130.27800000017</v>
      </c>
    </row>
    <row r="3427" spans="1:6" ht="11.25" customHeight="1" x14ac:dyDescent="0.2">
      <c r="A3427" s="15" t="s">
        <v>23</v>
      </c>
      <c r="B3427" s="9" t="s">
        <v>34</v>
      </c>
      <c r="C3427" s="16">
        <v>1.26</v>
      </c>
      <c r="D3427" s="16">
        <v>18781</v>
      </c>
      <c r="E3427" s="19">
        <f>ROUND(C3427*D3427,2)*12</f>
        <v>283968.72000000003</v>
      </c>
      <c r="F3427" s="20"/>
    </row>
    <row r="3428" spans="1:6" ht="11.25" customHeight="1" x14ac:dyDescent="0.2">
      <c r="A3428" s="8" t="s">
        <v>31</v>
      </c>
      <c r="B3428" s="9" t="s">
        <v>36</v>
      </c>
      <c r="C3428" s="16">
        <v>1.19</v>
      </c>
      <c r="D3428" s="16">
        <v>18781</v>
      </c>
      <c r="E3428" s="19">
        <f>ROUND(C3428*D3428,2)*12</f>
        <v>268192.68</v>
      </c>
    </row>
    <row r="3429" spans="1:6" ht="11.25" customHeight="1" x14ac:dyDescent="0.2">
      <c r="A3429" s="8" t="s">
        <v>121</v>
      </c>
      <c r="B3429" s="9" t="s">
        <v>38</v>
      </c>
      <c r="C3429" s="16">
        <v>30.2</v>
      </c>
      <c r="D3429" s="16">
        <f>E3427</f>
        <v>283968.72000000003</v>
      </c>
      <c r="E3429" s="19">
        <f>ROUND(C3429*D3429/100,2)</f>
        <v>85758.55</v>
      </c>
    </row>
    <row r="3430" spans="1:6" ht="11.25" customHeight="1" x14ac:dyDescent="0.2">
      <c r="A3430" s="8" t="s">
        <v>186</v>
      </c>
      <c r="B3430" s="9" t="s">
        <v>40</v>
      </c>
      <c r="C3430" s="16">
        <v>30.2</v>
      </c>
      <c r="D3430" s="16">
        <f>E3428</f>
        <v>268192.68</v>
      </c>
      <c r="E3430" s="19">
        <f>ROUND(C3430*D3430/100,2)</f>
        <v>80994.19</v>
      </c>
    </row>
    <row r="3431" spans="1:6" ht="11.25" customHeight="1" x14ac:dyDescent="0.2">
      <c r="A3431" s="8" t="s">
        <v>187</v>
      </c>
      <c r="B3431" s="9" t="s">
        <v>42</v>
      </c>
      <c r="C3431" s="16"/>
      <c r="D3431" s="16"/>
      <c r="E3431" s="19">
        <f>ROUND(E3427*0.1,2)</f>
        <v>28396.87</v>
      </c>
    </row>
    <row r="3432" spans="1:6" ht="11.25" customHeight="1" x14ac:dyDescent="0.2">
      <c r="A3432" s="8" t="s">
        <v>188</v>
      </c>
      <c r="B3432" s="9" t="s">
        <v>44</v>
      </c>
      <c r="C3432" s="16"/>
      <c r="D3432" s="16"/>
      <c r="E3432" s="19">
        <f>E3428*0.1</f>
        <v>26819.268</v>
      </c>
    </row>
    <row r="3433" spans="1:6" ht="15" customHeight="1" x14ac:dyDescent="0.2">
      <c r="A3433" s="7" t="s">
        <v>45</v>
      </c>
      <c r="B3433" s="6" t="s">
        <v>189</v>
      </c>
      <c r="C3433" s="16"/>
      <c r="D3433" s="16"/>
      <c r="E3433" s="17">
        <f>E3434+E3435+E3436+E3437</f>
        <v>1234533.7299999997</v>
      </c>
    </row>
    <row r="3434" spans="1:6" ht="11.25" customHeight="1" x14ac:dyDescent="0.2">
      <c r="A3434" s="8" t="s">
        <v>47</v>
      </c>
      <c r="B3434" s="9" t="s">
        <v>48</v>
      </c>
      <c r="C3434" s="16">
        <v>2.88</v>
      </c>
      <c r="D3434" s="16">
        <v>18781</v>
      </c>
      <c r="E3434" s="19">
        <f>C3434*D3434*12</f>
        <v>649071.35999999999</v>
      </c>
      <c r="F3434" s="20"/>
    </row>
    <row r="3435" spans="1:6" ht="11.25" customHeight="1" x14ac:dyDescent="0.2">
      <c r="A3435" s="8" t="s">
        <v>49</v>
      </c>
      <c r="B3435" s="9" t="s">
        <v>50</v>
      </c>
      <c r="C3435" s="16">
        <v>30.2</v>
      </c>
      <c r="D3435" s="16">
        <f>E3434</f>
        <v>649071.35999999999</v>
      </c>
      <c r="E3435" s="19">
        <f>ROUND(C3435*D3435/100,2)</f>
        <v>196019.55</v>
      </c>
    </row>
    <row r="3436" spans="1:6" ht="11.25" customHeight="1" x14ac:dyDescent="0.2">
      <c r="A3436" s="8" t="s">
        <v>51</v>
      </c>
      <c r="B3436" s="9" t="s">
        <v>52</v>
      </c>
      <c r="C3436" s="16"/>
      <c r="D3436" s="16"/>
      <c r="E3436" s="19">
        <f>E3434*0.5</f>
        <v>324535.67999999999</v>
      </c>
    </row>
    <row r="3437" spans="1:6" ht="11.25" customHeight="1" x14ac:dyDescent="0.2">
      <c r="A3437" s="8" t="s">
        <v>53</v>
      </c>
      <c r="B3437" s="9" t="s">
        <v>54</v>
      </c>
      <c r="C3437" s="16"/>
      <c r="D3437" s="16"/>
      <c r="E3437" s="19">
        <f>ROUND(E3434*0.1,2)</f>
        <v>64907.14</v>
      </c>
    </row>
    <row r="3438" spans="1:6" ht="20.100000000000001" customHeight="1" x14ac:dyDescent="0.2">
      <c r="A3438" s="5">
        <v>2</v>
      </c>
      <c r="B3438" s="6" t="s">
        <v>57</v>
      </c>
      <c r="C3438" s="16"/>
      <c r="D3438" s="16"/>
      <c r="E3438" s="17">
        <f>E3439+E3441+E3442+E3443+E3444+E3445+E3440</f>
        <v>865057.03000000014</v>
      </c>
    </row>
    <row r="3439" spans="1:6" ht="11.25" customHeight="1" x14ac:dyDescent="0.2">
      <c r="A3439" s="35" t="s">
        <v>58</v>
      </c>
      <c r="B3439" s="9" t="s">
        <v>204</v>
      </c>
      <c r="C3439" s="16">
        <v>735.15</v>
      </c>
      <c r="D3439" s="16">
        <f>E3439/C3439</f>
        <v>177.97000612119976</v>
      </c>
      <c r="E3439" s="19">
        <v>130834.65</v>
      </c>
    </row>
    <row r="3440" spans="1:6" ht="11.25" customHeight="1" x14ac:dyDescent="0.2">
      <c r="A3440" s="35" t="s">
        <v>60</v>
      </c>
      <c r="B3440" s="9" t="s">
        <v>195</v>
      </c>
      <c r="C3440" s="16">
        <v>735.15</v>
      </c>
      <c r="D3440" s="16">
        <f>E3440/C3440</f>
        <v>219.63343535332925</v>
      </c>
      <c r="E3440" s="19">
        <v>161463.51999999999</v>
      </c>
    </row>
    <row r="3441" spans="1:6" ht="11.25" customHeight="1" x14ac:dyDescent="0.2">
      <c r="A3441" s="35" t="s">
        <v>62</v>
      </c>
      <c r="B3441" s="9" t="s">
        <v>196</v>
      </c>
      <c r="C3441" s="16">
        <v>233.22</v>
      </c>
      <c r="D3441" s="16">
        <f>E3441/C3441</f>
        <v>848.40125203670357</v>
      </c>
      <c r="E3441" s="19">
        <v>197864.14</v>
      </c>
    </row>
    <row r="3442" spans="1:6" ht="11.25" customHeight="1" x14ac:dyDescent="0.2">
      <c r="A3442" s="35" t="s">
        <v>64</v>
      </c>
      <c r="B3442" s="9" t="s">
        <v>63</v>
      </c>
      <c r="C3442" s="16">
        <f>E3442/D3442</f>
        <v>43484.307129798908</v>
      </c>
      <c r="D3442" s="16">
        <v>5.47</v>
      </c>
      <c r="E3442" s="19">
        <f>224270-7211.52+20800.68</f>
        <v>237859.16</v>
      </c>
      <c r="F3442" s="20"/>
    </row>
    <row r="3443" spans="1:6" ht="11.25" customHeight="1" x14ac:dyDescent="0.2">
      <c r="A3443" s="35" t="s">
        <v>66</v>
      </c>
      <c r="B3443" s="9" t="s">
        <v>65</v>
      </c>
      <c r="C3443" s="16">
        <f>E3443/D3443</f>
        <v>1541.8810747320513</v>
      </c>
      <c r="D3443" s="16">
        <v>68.11</v>
      </c>
      <c r="E3443" s="19">
        <v>105017.52</v>
      </c>
    </row>
    <row r="3444" spans="1:6" ht="11.25" customHeight="1" x14ac:dyDescent="0.2">
      <c r="A3444" s="35" t="s">
        <v>68</v>
      </c>
      <c r="B3444" s="9" t="s">
        <v>69</v>
      </c>
      <c r="C3444" s="16">
        <v>1585.9</v>
      </c>
      <c r="D3444" s="16">
        <f>E3444/C3444</f>
        <v>3.3499968472160919</v>
      </c>
      <c r="E3444" s="19">
        <v>5312.76</v>
      </c>
    </row>
    <row r="3445" spans="1:6" ht="11.25" customHeight="1" x14ac:dyDescent="0.2">
      <c r="A3445" s="35" t="s">
        <v>70</v>
      </c>
      <c r="B3445" s="9" t="s">
        <v>71</v>
      </c>
      <c r="C3445" s="16">
        <v>142.02000000000001</v>
      </c>
      <c r="D3445" s="16">
        <f>E3445/C3445</f>
        <v>188.03886776510348</v>
      </c>
      <c r="E3445" s="19">
        <v>26705.279999999999</v>
      </c>
    </row>
    <row r="3446" spans="1:6" ht="20.100000000000001" customHeight="1" x14ac:dyDescent="0.2">
      <c r="A3446" s="5">
        <v>3</v>
      </c>
      <c r="B3446" s="6" t="s">
        <v>72</v>
      </c>
      <c r="C3446" s="16"/>
      <c r="D3446" s="16"/>
      <c r="E3446" s="17">
        <f>E3447+E3448+E3449+E3450+E3451+E3452+E3453+E3454+E3455+E3457+E3456</f>
        <v>441305.84576079965</v>
      </c>
    </row>
    <row r="3447" spans="1:6" ht="11.25" customHeight="1" x14ac:dyDescent="0.2">
      <c r="A3447" s="8" t="s">
        <v>73</v>
      </c>
      <c r="B3447" s="9" t="s">
        <v>74</v>
      </c>
      <c r="C3447" s="34">
        <v>6</v>
      </c>
      <c r="D3447" s="16">
        <f>E3447/C3447/12</f>
        <v>3064.0080555555555</v>
      </c>
      <c r="E3447" s="19">
        <v>220608.58</v>
      </c>
    </row>
    <row r="3448" spans="1:6" ht="11.25" customHeight="1" x14ac:dyDescent="0.2">
      <c r="A3448" s="8" t="s">
        <v>75</v>
      </c>
      <c r="B3448" s="9" t="s">
        <v>76</v>
      </c>
      <c r="C3448" s="16"/>
      <c r="D3448" s="16"/>
      <c r="E3448" s="19">
        <v>0</v>
      </c>
    </row>
    <row r="3449" spans="1:6" ht="11.25" customHeight="1" x14ac:dyDescent="0.2">
      <c r="A3449" s="8" t="s">
        <v>77</v>
      </c>
      <c r="B3449" s="9" t="s">
        <v>78</v>
      </c>
      <c r="C3449" s="16"/>
      <c r="D3449" s="16"/>
      <c r="E3449" s="19">
        <v>0</v>
      </c>
    </row>
    <row r="3450" spans="1:6" ht="11.25" customHeight="1" x14ac:dyDescent="0.2">
      <c r="A3450" s="8" t="s">
        <v>79</v>
      </c>
      <c r="B3450" s="9" t="s">
        <v>80</v>
      </c>
      <c r="C3450" s="16">
        <v>10464.1</v>
      </c>
      <c r="D3450" s="16">
        <f>E3450/C3450</f>
        <v>4.2779732609588974</v>
      </c>
      <c r="E3450" s="19">
        <v>44765.14</v>
      </c>
    </row>
    <row r="3451" spans="1:6" ht="11.25" customHeight="1" x14ac:dyDescent="0.2">
      <c r="A3451" s="8" t="s">
        <v>81</v>
      </c>
      <c r="B3451" s="9" t="s">
        <v>82</v>
      </c>
      <c r="C3451" s="34">
        <v>424</v>
      </c>
      <c r="D3451" s="16">
        <f>E3451/C3451</f>
        <v>71.800754716981132</v>
      </c>
      <c r="E3451" s="19">
        <v>30443.52</v>
      </c>
    </row>
    <row r="3452" spans="1:6" ht="11.25" customHeight="1" x14ac:dyDescent="0.2">
      <c r="A3452" s="8" t="s">
        <v>83</v>
      </c>
      <c r="B3452" s="9" t="s">
        <v>194</v>
      </c>
      <c r="C3452" s="34">
        <v>212</v>
      </c>
      <c r="D3452" s="16">
        <f>E3452/C3452</f>
        <v>86.19971698113207</v>
      </c>
      <c r="E3452" s="19">
        <v>18274.34</v>
      </c>
    </row>
    <row r="3453" spans="1:6" ht="11.25" customHeight="1" x14ac:dyDescent="0.2">
      <c r="A3453" s="8" t="s">
        <v>85</v>
      </c>
      <c r="B3453" s="9" t="s">
        <v>86</v>
      </c>
      <c r="C3453" s="34"/>
      <c r="D3453" s="16"/>
      <c r="E3453" s="19">
        <v>0</v>
      </c>
    </row>
    <row r="3454" spans="1:6" ht="11.25" customHeight="1" x14ac:dyDescent="0.2">
      <c r="A3454" s="8" t="s">
        <v>87</v>
      </c>
      <c r="B3454" s="9" t="s">
        <v>88</v>
      </c>
      <c r="C3454" s="34">
        <v>212</v>
      </c>
      <c r="D3454" s="16">
        <f>E3454/C3454</f>
        <v>527.73985849056612</v>
      </c>
      <c r="E3454" s="19">
        <v>111880.85</v>
      </c>
    </row>
    <row r="3455" spans="1:6" ht="11.25" customHeight="1" x14ac:dyDescent="0.2">
      <c r="A3455" s="8" t="s">
        <v>89</v>
      </c>
      <c r="B3455" s="9" t="s">
        <v>90</v>
      </c>
      <c r="C3455" s="16"/>
      <c r="D3455" s="16"/>
      <c r="E3455" s="19">
        <v>0</v>
      </c>
    </row>
    <row r="3456" spans="1:6" ht="11.25" customHeight="1" x14ac:dyDescent="0.2">
      <c r="A3456" s="8" t="s">
        <v>91</v>
      </c>
      <c r="B3456" s="9" t="s">
        <v>202</v>
      </c>
      <c r="C3456" s="34">
        <v>6</v>
      </c>
      <c r="D3456" s="16">
        <f>E3456/C3456</f>
        <v>2555.5692934665967</v>
      </c>
      <c r="E3456" s="19">
        <f>1773.04*2*1.2+2826.16*4*1.2*0.81663515754</f>
        <v>15333.41576079958</v>
      </c>
    </row>
    <row r="3457" spans="1:6" ht="11.25" customHeight="1" x14ac:dyDescent="0.2">
      <c r="A3457" s="8" t="s">
        <v>203</v>
      </c>
      <c r="B3457" s="9" t="s">
        <v>92</v>
      </c>
      <c r="C3457" s="16"/>
      <c r="D3457" s="16"/>
      <c r="E3457" s="19">
        <v>0</v>
      </c>
    </row>
    <row r="3458" spans="1:6" ht="15" customHeight="1" x14ac:dyDescent="0.2">
      <c r="A3458" s="5">
        <v>4</v>
      </c>
      <c r="B3458" s="6" t="s">
        <v>193</v>
      </c>
      <c r="C3458" s="16"/>
      <c r="D3458" s="16"/>
      <c r="E3458" s="17">
        <f>F3459/1.1*0.1</f>
        <v>331502.68800000002</v>
      </c>
    </row>
    <row r="3459" spans="1:6" ht="18.75" customHeight="1" x14ac:dyDescent="0.2">
      <c r="A3459" s="10"/>
      <c r="B3459" s="11" t="s">
        <v>94</v>
      </c>
      <c r="C3459" s="21"/>
      <c r="D3459" s="21"/>
      <c r="E3459" s="17">
        <f>E3425+E3438+E3446+E3458</f>
        <v>3646529.5717607997</v>
      </c>
      <c r="F3459" s="25">
        <f>E3412*29.04*12</f>
        <v>3646529.568</v>
      </c>
    </row>
    <row r="3460" spans="1:6" ht="15" customHeight="1" x14ac:dyDescent="0.25">
      <c r="A3460" s="10"/>
      <c r="B3460" s="11" t="s">
        <v>199</v>
      </c>
      <c r="C3460" s="21"/>
      <c r="D3460" s="21"/>
      <c r="E3460" s="22">
        <v>29.04</v>
      </c>
    </row>
    <row r="3461" spans="1:6" ht="10.95" customHeight="1" x14ac:dyDescent="0.2"/>
    <row r="3462" spans="1:6" ht="10.95" customHeight="1" x14ac:dyDescent="0.2"/>
    <row r="3463" spans="1:6" ht="10.95" customHeight="1" x14ac:dyDescent="0.2"/>
    <row r="3464" spans="1:6" ht="15" customHeight="1" x14ac:dyDescent="0.25">
      <c r="B3464" s="12" t="s">
        <v>96</v>
      </c>
    </row>
    <row r="3465" spans="1:6" ht="12" customHeight="1" x14ac:dyDescent="0.2"/>
    <row r="3466" spans="1:6" ht="13.2" customHeight="1" x14ac:dyDescent="0.25">
      <c r="B3466" s="3" t="s">
        <v>97</v>
      </c>
    </row>
    <row r="3467" spans="1:6" ht="7.95" customHeight="1" x14ac:dyDescent="0.2"/>
    <row r="3468" spans="1:6" ht="12" customHeight="1" x14ac:dyDescent="0.25">
      <c r="B3468" s="41" t="s">
        <v>100</v>
      </c>
      <c r="C3468" s="41"/>
      <c r="D3468" s="41"/>
      <c r="E3468" s="41"/>
    </row>
    <row r="3469" spans="1:6" ht="10.95" customHeight="1" x14ac:dyDescent="0.2"/>
    <row r="3470" spans="1:6" ht="10.95" customHeight="1" x14ac:dyDescent="0.2"/>
    <row r="3471" spans="1:6" ht="10.95" customHeight="1" x14ac:dyDescent="0.2"/>
    <row r="3472" spans="1:6" ht="16.2" customHeight="1" x14ac:dyDescent="0.2">
      <c r="A3472" s="39" t="s">
        <v>0</v>
      </c>
      <c r="B3472" s="39"/>
      <c r="C3472" s="39"/>
      <c r="D3472" s="39"/>
      <c r="E3472" s="39"/>
    </row>
    <row r="3473" spans="1:5" ht="10.95" customHeight="1" x14ac:dyDescent="0.2">
      <c r="A3473" s="40" t="s">
        <v>1</v>
      </c>
      <c r="B3473" s="40"/>
      <c r="C3473" s="40"/>
      <c r="D3473" s="40"/>
      <c r="E3473" s="40"/>
    </row>
    <row r="3474" spans="1:5" ht="13.2" customHeight="1" x14ac:dyDescent="0.2">
      <c r="A3474" s="40" t="s">
        <v>198</v>
      </c>
      <c r="B3474" s="40"/>
      <c r="C3474" s="40"/>
      <c r="D3474" s="40"/>
      <c r="E3474" s="40"/>
    </row>
    <row r="3475" spans="1:5" ht="10.95" customHeight="1" x14ac:dyDescent="0.2"/>
    <row r="3476" spans="1:5" ht="10.95" customHeight="1" x14ac:dyDescent="0.2">
      <c r="C3476" s="42" t="s">
        <v>3</v>
      </c>
      <c r="D3476" s="42"/>
      <c r="E3476" s="42"/>
    </row>
    <row r="3477" spans="1:5" ht="12" customHeight="1" x14ac:dyDescent="0.2">
      <c r="D3477" s="26" t="s">
        <v>4</v>
      </c>
      <c r="E3477" s="24">
        <v>20045.8</v>
      </c>
    </row>
    <row r="3478" spans="1:5" ht="12" customHeight="1" x14ac:dyDescent="0.2">
      <c r="D3478" s="26" t="s">
        <v>5</v>
      </c>
      <c r="E3478" s="23">
        <v>7935.9</v>
      </c>
    </row>
    <row r="3479" spans="1:5" ht="12" customHeight="1" x14ac:dyDescent="0.2">
      <c r="D3479" s="26" t="s">
        <v>6</v>
      </c>
      <c r="E3479" s="30">
        <v>6</v>
      </c>
    </row>
    <row r="3480" spans="1:5" ht="12" customHeight="1" x14ac:dyDescent="0.2">
      <c r="D3480" s="26" t="s">
        <v>7</v>
      </c>
      <c r="E3480" s="30">
        <v>17</v>
      </c>
    </row>
    <row r="3481" spans="1:5" ht="12" customHeight="1" x14ac:dyDescent="0.2">
      <c r="D3481" s="26" t="s">
        <v>8</v>
      </c>
      <c r="E3481" s="30">
        <v>356</v>
      </c>
    </row>
    <row r="3482" spans="1:5" ht="12" customHeight="1" x14ac:dyDescent="0.2">
      <c r="D3482" s="26" t="s">
        <v>9</v>
      </c>
      <c r="E3482" s="30">
        <v>673</v>
      </c>
    </row>
    <row r="3483" spans="1:5" ht="12" customHeight="1" x14ac:dyDescent="0.2">
      <c r="D3483" s="26" t="s">
        <v>10</v>
      </c>
      <c r="E3483" s="30">
        <v>12</v>
      </c>
    </row>
    <row r="3484" spans="1:5" ht="12" customHeight="1" x14ac:dyDescent="0.2">
      <c r="D3484" s="26" t="s">
        <v>11</v>
      </c>
      <c r="E3484" s="30">
        <v>6</v>
      </c>
    </row>
    <row r="3485" spans="1:5" ht="12" customHeight="1" x14ac:dyDescent="0.2">
      <c r="D3485" s="26" t="s">
        <v>12</v>
      </c>
      <c r="E3485" s="30">
        <v>0</v>
      </c>
    </row>
    <row r="3486" spans="1:5" ht="12" customHeight="1" x14ac:dyDescent="0.2">
      <c r="D3486" s="26" t="s">
        <v>13</v>
      </c>
      <c r="E3486" s="30">
        <v>4672</v>
      </c>
    </row>
    <row r="3487" spans="1:5" ht="12" customHeight="1" x14ac:dyDescent="0.25">
      <c r="A3487" s="2" t="s">
        <v>14</v>
      </c>
      <c r="B3487" s="3" t="s">
        <v>120</v>
      </c>
    </row>
    <row r="3488" spans="1:5" ht="10.95" customHeight="1" x14ac:dyDescent="0.2"/>
    <row r="3489" spans="1:6" ht="45" customHeight="1" x14ac:dyDescent="0.2">
      <c r="A3489" s="4" t="s">
        <v>15</v>
      </c>
      <c r="B3489" s="4" t="s">
        <v>131</v>
      </c>
      <c r="C3489" s="27" t="s">
        <v>17</v>
      </c>
      <c r="D3489" s="27" t="s">
        <v>103</v>
      </c>
      <c r="E3489" s="27" t="s">
        <v>19</v>
      </c>
    </row>
    <row r="3490" spans="1:6" ht="31.5" customHeight="1" x14ac:dyDescent="0.2">
      <c r="A3490" s="5">
        <v>1</v>
      </c>
      <c r="B3490" s="6" t="s">
        <v>190</v>
      </c>
      <c r="C3490" s="16"/>
      <c r="D3490" s="16"/>
      <c r="E3490" s="17">
        <f>E3491+E3498</f>
        <v>3146535.6900000004</v>
      </c>
    </row>
    <row r="3491" spans="1:6" ht="15" customHeight="1" x14ac:dyDescent="0.2">
      <c r="A3491" s="7" t="s">
        <v>21</v>
      </c>
      <c r="B3491" s="6" t="s">
        <v>132</v>
      </c>
      <c r="C3491" s="16"/>
      <c r="D3491" s="16"/>
      <c r="E3491" s="17">
        <f>SUM(E3492:E3497)</f>
        <v>1706246.3380000002</v>
      </c>
    </row>
    <row r="3492" spans="1:6" ht="11.25" customHeight="1" x14ac:dyDescent="0.2">
      <c r="A3492" s="15" t="s">
        <v>23</v>
      </c>
      <c r="B3492" s="9" t="s">
        <v>34</v>
      </c>
      <c r="C3492" s="16">
        <v>3.86</v>
      </c>
      <c r="D3492" s="16">
        <v>18781</v>
      </c>
      <c r="E3492" s="19">
        <f>ROUND(C3492*D3492,2)*12</f>
        <v>869935.92</v>
      </c>
      <c r="F3492" s="20"/>
    </row>
    <row r="3493" spans="1:6" ht="11.25" customHeight="1" x14ac:dyDescent="0.2">
      <c r="A3493" s="8" t="s">
        <v>31</v>
      </c>
      <c r="B3493" s="9" t="s">
        <v>36</v>
      </c>
      <c r="C3493" s="16">
        <v>1.54</v>
      </c>
      <c r="D3493" s="16">
        <v>18781</v>
      </c>
      <c r="E3493" s="19">
        <f>ROUND(C3493*D3493,2)*12</f>
        <v>347072.88</v>
      </c>
    </row>
    <row r="3494" spans="1:6" ht="11.25" customHeight="1" x14ac:dyDescent="0.2">
      <c r="A3494" s="8" t="s">
        <v>121</v>
      </c>
      <c r="B3494" s="9" t="s">
        <v>38</v>
      </c>
      <c r="C3494" s="16">
        <v>30.2</v>
      </c>
      <c r="D3494" s="16">
        <f>E3492</f>
        <v>869935.92</v>
      </c>
      <c r="E3494" s="19">
        <f>ROUND(C3494*D3494/100,2)</f>
        <v>262720.65000000002</v>
      </c>
    </row>
    <row r="3495" spans="1:6" ht="11.25" customHeight="1" x14ac:dyDescent="0.2">
      <c r="A3495" s="8" t="s">
        <v>186</v>
      </c>
      <c r="B3495" s="9" t="s">
        <v>40</v>
      </c>
      <c r="C3495" s="16">
        <v>30.2</v>
      </c>
      <c r="D3495" s="16">
        <f>E3493</f>
        <v>347072.88</v>
      </c>
      <c r="E3495" s="19">
        <f>ROUND(C3495*D3495/100,2)</f>
        <v>104816.01</v>
      </c>
    </row>
    <row r="3496" spans="1:6" ht="11.25" customHeight="1" x14ac:dyDescent="0.2">
      <c r="A3496" s="8" t="s">
        <v>187</v>
      </c>
      <c r="B3496" s="9" t="s">
        <v>42</v>
      </c>
      <c r="C3496" s="16"/>
      <c r="D3496" s="16"/>
      <c r="E3496" s="19">
        <f>ROUND(E3492*0.1,2)</f>
        <v>86993.59</v>
      </c>
    </row>
    <row r="3497" spans="1:6" ht="11.25" customHeight="1" x14ac:dyDescent="0.2">
      <c r="A3497" s="8" t="s">
        <v>188</v>
      </c>
      <c r="B3497" s="9" t="s">
        <v>44</v>
      </c>
      <c r="C3497" s="16"/>
      <c r="D3497" s="16"/>
      <c r="E3497" s="19">
        <f>E3493*0.1</f>
        <v>34707.288</v>
      </c>
    </row>
    <row r="3498" spans="1:6" ht="15" customHeight="1" x14ac:dyDescent="0.2">
      <c r="A3498" s="7" t="s">
        <v>45</v>
      </c>
      <c r="B3498" s="6" t="s">
        <v>189</v>
      </c>
      <c r="C3498" s="16"/>
      <c r="D3498" s="16"/>
      <c r="E3498" s="17">
        <f>E3499+E3500+E3501+E3502</f>
        <v>1440289.3520000002</v>
      </c>
    </row>
    <row r="3499" spans="1:6" ht="11.25" customHeight="1" x14ac:dyDescent="0.2">
      <c r="A3499" s="8" t="s">
        <v>47</v>
      </c>
      <c r="B3499" s="9" t="s">
        <v>48</v>
      </c>
      <c r="C3499" s="16">
        <v>3.36</v>
      </c>
      <c r="D3499" s="16">
        <v>18781</v>
      </c>
      <c r="E3499" s="19">
        <f>ROUND(C3499*D3499,2)*12</f>
        <v>757249.92</v>
      </c>
      <c r="F3499" s="20"/>
    </row>
    <row r="3500" spans="1:6" ht="11.25" customHeight="1" x14ac:dyDescent="0.2">
      <c r="A3500" s="8" t="s">
        <v>49</v>
      </c>
      <c r="B3500" s="9" t="s">
        <v>50</v>
      </c>
      <c r="C3500" s="16">
        <v>30.2</v>
      </c>
      <c r="D3500" s="16">
        <f>E3499</f>
        <v>757249.92</v>
      </c>
      <c r="E3500" s="19">
        <f>ROUND(C3500*D3500/100,2)</f>
        <v>228689.48</v>
      </c>
    </row>
    <row r="3501" spans="1:6" ht="11.25" customHeight="1" x14ac:dyDescent="0.2">
      <c r="A3501" s="8" t="s">
        <v>51</v>
      </c>
      <c r="B3501" s="9" t="s">
        <v>52</v>
      </c>
      <c r="C3501" s="16"/>
      <c r="D3501" s="16"/>
      <c r="E3501" s="19">
        <f>E3499*0.5</f>
        <v>378624.96</v>
      </c>
    </row>
    <row r="3502" spans="1:6" ht="11.25" customHeight="1" x14ac:dyDescent="0.2">
      <c r="A3502" s="8" t="s">
        <v>53</v>
      </c>
      <c r="B3502" s="9" t="s">
        <v>54</v>
      </c>
      <c r="C3502" s="16"/>
      <c r="D3502" s="16"/>
      <c r="E3502" s="19">
        <f>E3499*0.1</f>
        <v>75724.992000000013</v>
      </c>
    </row>
    <row r="3503" spans="1:6" ht="20.100000000000001" customHeight="1" x14ac:dyDescent="0.2">
      <c r="A3503" s="5">
        <v>2</v>
      </c>
      <c r="B3503" s="6" t="s">
        <v>57</v>
      </c>
      <c r="C3503" s="16"/>
      <c r="D3503" s="16"/>
      <c r="E3503" s="17">
        <f>E3504+E3506+E3507+E3508+E3509+E3510+E3505</f>
        <v>1600588.2800000003</v>
      </c>
    </row>
    <row r="3504" spans="1:6" ht="11.25" customHeight="1" x14ac:dyDescent="0.2">
      <c r="A3504" s="35" t="s">
        <v>58</v>
      </c>
      <c r="B3504" s="9" t="s">
        <v>204</v>
      </c>
      <c r="C3504" s="16">
        <v>975.85</v>
      </c>
      <c r="D3504" s="16">
        <f>E3504/C3504</f>
        <v>177.96999538863554</v>
      </c>
      <c r="E3504" s="19">
        <v>173672.02</v>
      </c>
    </row>
    <row r="3505" spans="1:5" ht="11.25" customHeight="1" x14ac:dyDescent="0.2">
      <c r="A3505" s="35" t="s">
        <v>60</v>
      </c>
      <c r="B3505" s="9" t="s">
        <v>195</v>
      </c>
      <c r="C3505" s="16">
        <v>975.85</v>
      </c>
      <c r="D3505" s="16">
        <f>E3505/C3505</f>
        <v>219.6334375160117</v>
      </c>
      <c r="E3505" s="19">
        <v>214329.29</v>
      </c>
    </row>
    <row r="3506" spans="1:5" ht="11.25" customHeight="1" x14ac:dyDescent="0.2">
      <c r="A3506" s="35" t="s">
        <v>62</v>
      </c>
      <c r="B3506" s="9" t="s">
        <v>196</v>
      </c>
      <c r="C3506" s="16">
        <v>309.58</v>
      </c>
      <c r="D3506" s="16">
        <f>E3506/C3506</f>
        <v>848.40125331093748</v>
      </c>
      <c r="E3506" s="19">
        <v>262648.06</v>
      </c>
    </row>
    <row r="3507" spans="1:5" ht="11.25" customHeight="1" x14ac:dyDescent="0.2">
      <c r="A3507" s="35" t="s">
        <v>64</v>
      </c>
      <c r="B3507" s="9" t="s">
        <v>63</v>
      </c>
      <c r="C3507" s="16">
        <f>E3507/D3507</f>
        <v>198376.25068870524</v>
      </c>
      <c r="D3507" s="16">
        <v>3.63</v>
      </c>
      <c r="E3507" s="19">
        <f>726000-5894.21</f>
        <v>720105.79</v>
      </c>
    </row>
    <row r="3508" spans="1:5" ht="11.25" customHeight="1" x14ac:dyDescent="0.2">
      <c r="A3508" s="35" t="s">
        <v>66</v>
      </c>
      <c r="B3508" s="9" t="s">
        <v>65</v>
      </c>
      <c r="C3508" s="16">
        <f>E3508/D3508</f>
        <v>2507.906474820144</v>
      </c>
      <c r="D3508" s="16">
        <v>68.11</v>
      </c>
      <c r="E3508" s="19">
        <f>167841.6+2971.91</f>
        <v>170813.51</v>
      </c>
    </row>
    <row r="3509" spans="1:5" ht="11.25" customHeight="1" x14ac:dyDescent="0.2">
      <c r="A3509" s="35" t="s">
        <v>68</v>
      </c>
      <c r="B3509" s="9" t="s">
        <v>69</v>
      </c>
      <c r="C3509" s="16">
        <v>2560.1</v>
      </c>
      <c r="D3509" s="16">
        <f>E3509/C3509</f>
        <v>3.3499980469512911</v>
      </c>
      <c r="E3509" s="19">
        <v>8576.33</v>
      </c>
    </row>
    <row r="3510" spans="1:5" ht="11.25" customHeight="1" x14ac:dyDescent="0.2">
      <c r="A3510" s="35" t="s">
        <v>70</v>
      </c>
      <c r="B3510" s="9" t="s">
        <v>71</v>
      </c>
      <c r="C3510" s="16">
        <v>268.26</v>
      </c>
      <c r="D3510" s="16">
        <f>E3510/C3510</f>
        <v>188.03876835905464</v>
      </c>
      <c r="E3510" s="19">
        <v>50443.28</v>
      </c>
    </row>
    <row r="3511" spans="1:5" ht="20.100000000000001" customHeight="1" x14ac:dyDescent="0.2">
      <c r="A3511" s="5">
        <v>3</v>
      </c>
      <c r="B3511" s="6" t="s">
        <v>72</v>
      </c>
      <c r="C3511" s="16"/>
      <c r="D3511" s="16"/>
      <c r="E3511" s="17">
        <f>E3512+E3513+E3514+E3515+E3516+E3517+E3518+E3519+E3520+E3522+E3521</f>
        <v>1603385.4715215992</v>
      </c>
    </row>
    <row r="3512" spans="1:5" ht="11.25" customHeight="1" x14ac:dyDescent="0.2">
      <c r="A3512" s="8" t="s">
        <v>73</v>
      </c>
      <c r="B3512" s="9" t="s">
        <v>74</v>
      </c>
      <c r="C3512" s="34">
        <v>12</v>
      </c>
      <c r="D3512" s="16">
        <f>E3512/C3512/12</f>
        <v>4609.5600000000004</v>
      </c>
      <c r="E3512" s="19">
        <v>663776.64</v>
      </c>
    </row>
    <row r="3513" spans="1:5" ht="11.25" customHeight="1" x14ac:dyDescent="0.2">
      <c r="A3513" s="8" t="s">
        <v>75</v>
      </c>
      <c r="B3513" s="9" t="s">
        <v>76</v>
      </c>
      <c r="C3513" s="34">
        <v>356</v>
      </c>
      <c r="D3513" s="16">
        <f>E3513/C3513</f>
        <v>199.16025280898876</v>
      </c>
      <c r="E3513" s="19">
        <v>70901.05</v>
      </c>
    </row>
    <row r="3514" spans="1:5" ht="11.25" customHeight="1" x14ac:dyDescent="0.2">
      <c r="A3514" s="8" t="s">
        <v>77</v>
      </c>
      <c r="B3514" s="9" t="s">
        <v>78</v>
      </c>
      <c r="C3514" s="34">
        <v>6</v>
      </c>
      <c r="D3514" s="16">
        <f>E3514/C3514/12</f>
        <v>7402.6133333333337</v>
      </c>
      <c r="E3514" s="19">
        <v>532988.16000000003</v>
      </c>
    </row>
    <row r="3515" spans="1:5" ht="11.25" customHeight="1" x14ac:dyDescent="0.2">
      <c r="A3515" s="8" t="s">
        <v>79</v>
      </c>
      <c r="B3515" s="9" t="s">
        <v>80</v>
      </c>
      <c r="C3515" s="16">
        <v>20045.8</v>
      </c>
      <c r="D3515" s="16">
        <f>E3515/C3515</f>
        <v>5.793033952249349</v>
      </c>
      <c r="E3515" s="19">
        <v>116126</v>
      </c>
    </row>
    <row r="3516" spans="1:5" ht="11.25" customHeight="1" x14ac:dyDescent="0.2">
      <c r="A3516" s="8" t="s">
        <v>81</v>
      </c>
      <c r="B3516" s="9" t="s">
        <v>82</v>
      </c>
      <c r="C3516" s="34">
        <v>712</v>
      </c>
      <c r="D3516" s="16">
        <f>E3516/C3516</f>
        <v>71.241573033707866</v>
      </c>
      <c r="E3516" s="19">
        <v>50724</v>
      </c>
    </row>
    <row r="3517" spans="1:5" ht="11.25" customHeight="1" x14ac:dyDescent="0.2">
      <c r="A3517" s="8" t="s">
        <v>83</v>
      </c>
      <c r="B3517" s="9" t="s">
        <v>194</v>
      </c>
      <c r="C3517" s="34">
        <v>356</v>
      </c>
      <c r="D3517" s="16">
        <f>E3517/C3517</f>
        <v>86.720786516853934</v>
      </c>
      <c r="E3517" s="19">
        <v>30872.6</v>
      </c>
    </row>
    <row r="3518" spans="1:5" ht="11.25" customHeight="1" x14ac:dyDescent="0.2">
      <c r="A3518" s="8" t="s">
        <v>85</v>
      </c>
      <c r="B3518" s="9" t="s">
        <v>86</v>
      </c>
      <c r="C3518" s="16">
        <v>0.5</v>
      </c>
      <c r="D3518" s="16">
        <f>E3518/C3518</f>
        <v>19206.259999999998</v>
      </c>
      <c r="E3518" s="19">
        <v>9603.1299999999992</v>
      </c>
    </row>
    <row r="3519" spans="1:5" ht="11.25" customHeight="1" x14ac:dyDescent="0.2">
      <c r="A3519" s="8" t="s">
        <v>87</v>
      </c>
      <c r="B3519" s="9" t="s">
        <v>88</v>
      </c>
      <c r="C3519" s="16"/>
      <c r="D3519" s="16"/>
      <c r="E3519" s="19"/>
    </row>
    <row r="3520" spans="1:5" ht="11.25" customHeight="1" x14ac:dyDescent="0.2">
      <c r="A3520" s="8" t="s">
        <v>89</v>
      </c>
      <c r="B3520" s="9" t="s">
        <v>90</v>
      </c>
      <c r="C3520" s="34">
        <v>356</v>
      </c>
      <c r="D3520" s="16">
        <f>E3520/C3520</f>
        <v>274.51421348314608</v>
      </c>
      <c r="E3520" s="19">
        <v>97727.06</v>
      </c>
    </row>
    <row r="3521" spans="1:6" ht="11.25" customHeight="1" x14ac:dyDescent="0.2">
      <c r="A3521" s="8" t="s">
        <v>91</v>
      </c>
      <c r="B3521" s="9" t="s">
        <v>202</v>
      </c>
      <c r="C3521" s="34">
        <v>12</v>
      </c>
      <c r="D3521" s="16">
        <f>E3521/C3521</f>
        <v>2555.5692934665967</v>
      </c>
      <c r="E3521" s="19">
        <f>1773.04*4*1.2+2826.16*8*1.2*0.81663515754</f>
        <v>30666.831521599161</v>
      </c>
    </row>
    <row r="3522" spans="1:6" ht="11.25" customHeight="1" x14ac:dyDescent="0.2">
      <c r="A3522" s="8" t="s">
        <v>203</v>
      </c>
      <c r="B3522" s="9" t="s">
        <v>92</v>
      </c>
      <c r="C3522" s="16"/>
      <c r="D3522" s="16"/>
      <c r="E3522" s="19">
        <v>0</v>
      </c>
    </row>
    <row r="3523" spans="1:6" ht="15" customHeight="1" x14ac:dyDescent="0.2">
      <c r="A3523" s="5">
        <v>4</v>
      </c>
      <c r="B3523" s="6" t="s">
        <v>193</v>
      </c>
      <c r="C3523" s="16"/>
      <c r="D3523" s="16"/>
      <c r="E3523" s="17">
        <f>F3524/1.1*0.1</f>
        <v>635050.94400000002</v>
      </c>
    </row>
    <row r="3524" spans="1:6" ht="18.75" customHeight="1" x14ac:dyDescent="0.2">
      <c r="A3524" s="10"/>
      <c r="B3524" s="11" t="s">
        <v>94</v>
      </c>
      <c r="C3524" s="21"/>
      <c r="D3524" s="21"/>
      <c r="E3524" s="17">
        <f>E3490+E3503+E3511+E3523</f>
        <v>6985560.3855216</v>
      </c>
      <c r="F3524" s="25">
        <f>E3477*29.04*12</f>
        <v>6985560.3839999996</v>
      </c>
    </row>
    <row r="3525" spans="1:6" ht="15" customHeight="1" x14ac:dyDescent="0.25">
      <c r="A3525" s="10"/>
      <c r="B3525" s="11" t="s">
        <v>199</v>
      </c>
      <c r="C3525" s="21"/>
      <c r="D3525" s="21"/>
      <c r="E3525" s="22">
        <v>29.04</v>
      </c>
    </row>
    <row r="3526" spans="1:6" ht="10.95" customHeight="1" x14ac:dyDescent="0.2"/>
    <row r="3527" spans="1:6" ht="10.95" customHeight="1" x14ac:dyDescent="0.2"/>
    <row r="3528" spans="1:6" ht="10.95" customHeight="1" x14ac:dyDescent="0.2"/>
    <row r="3529" spans="1:6" ht="15" customHeight="1" x14ac:dyDescent="0.25">
      <c r="B3529" s="12" t="s">
        <v>96</v>
      </c>
    </row>
    <row r="3530" spans="1:6" ht="12" customHeight="1" x14ac:dyDescent="0.2"/>
    <row r="3531" spans="1:6" ht="13.2" customHeight="1" x14ac:dyDescent="0.25">
      <c r="B3531" s="3" t="s">
        <v>97</v>
      </c>
    </row>
    <row r="3532" spans="1:6" ht="7.95" customHeight="1" x14ac:dyDescent="0.2"/>
    <row r="3533" spans="1:6" ht="12" customHeight="1" x14ac:dyDescent="0.25">
      <c r="B3533" s="41" t="s">
        <v>100</v>
      </c>
      <c r="C3533" s="41"/>
      <c r="D3533" s="41"/>
      <c r="E3533" s="41"/>
    </row>
    <row r="3534" spans="1:6" ht="10.95" customHeight="1" x14ac:dyDescent="0.2"/>
    <row r="3535" spans="1:6" ht="10.95" customHeight="1" x14ac:dyDescent="0.2"/>
    <row r="3536" spans="1:6" ht="10.95" customHeight="1" x14ac:dyDescent="0.2"/>
    <row r="3537" spans="1:5" ht="16.2" customHeight="1" x14ac:dyDescent="0.2">
      <c r="A3537" s="39" t="s">
        <v>0</v>
      </c>
      <c r="B3537" s="39"/>
      <c r="C3537" s="39"/>
      <c r="D3537" s="39"/>
      <c r="E3537" s="39"/>
    </row>
    <row r="3538" spans="1:5" ht="10.95" customHeight="1" x14ac:dyDescent="0.2">
      <c r="A3538" s="40" t="s">
        <v>1</v>
      </c>
      <c r="B3538" s="40"/>
      <c r="C3538" s="40"/>
      <c r="D3538" s="40"/>
      <c r="E3538" s="40"/>
    </row>
    <row r="3539" spans="1:5" ht="13.2" customHeight="1" x14ac:dyDescent="0.2">
      <c r="A3539" s="40" t="s">
        <v>198</v>
      </c>
      <c r="B3539" s="40"/>
      <c r="C3539" s="40"/>
      <c r="D3539" s="40"/>
      <c r="E3539" s="40"/>
    </row>
    <row r="3540" spans="1:5" ht="10.95" customHeight="1" x14ac:dyDescent="0.2"/>
    <row r="3541" spans="1:5" ht="10.95" customHeight="1" x14ac:dyDescent="0.2">
      <c r="C3541" s="42" t="s">
        <v>3</v>
      </c>
      <c r="D3541" s="42"/>
      <c r="E3541" s="42"/>
    </row>
    <row r="3542" spans="1:5" ht="12" customHeight="1" x14ac:dyDescent="0.2">
      <c r="D3542" s="26" t="s">
        <v>4</v>
      </c>
      <c r="E3542" s="24">
        <v>10553</v>
      </c>
    </row>
    <row r="3543" spans="1:5" ht="12" customHeight="1" x14ac:dyDescent="0.2">
      <c r="D3543" s="26" t="s">
        <v>5</v>
      </c>
      <c r="E3543" s="23">
        <v>0</v>
      </c>
    </row>
    <row r="3544" spans="1:5" ht="12" customHeight="1" x14ac:dyDescent="0.2">
      <c r="D3544" s="26" t="s">
        <v>6</v>
      </c>
      <c r="E3544" s="30">
        <v>6</v>
      </c>
    </row>
    <row r="3545" spans="1:5" ht="12" customHeight="1" x14ac:dyDescent="0.2">
      <c r="D3545" s="26" t="s">
        <v>7</v>
      </c>
      <c r="E3545" s="30">
        <v>9</v>
      </c>
    </row>
    <row r="3546" spans="1:5" ht="12" customHeight="1" x14ac:dyDescent="0.2">
      <c r="D3546" s="26" t="s">
        <v>8</v>
      </c>
      <c r="E3546" s="30">
        <v>216</v>
      </c>
    </row>
    <row r="3547" spans="1:5" ht="12" customHeight="1" x14ac:dyDescent="0.2">
      <c r="D3547" s="26" t="s">
        <v>9</v>
      </c>
      <c r="E3547" s="30">
        <v>544</v>
      </c>
    </row>
    <row r="3548" spans="1:5" ht="12" customHeight="1" x14ac:dyDescent="0.2">
      <c r="D3548" s="26" t="s">
        <v>10</v>
      </c>
      <c r="E3548" s="30">
        <v>6</v>
      </c>
    </row>
    <row r="3549" spans="1:5" ht="12" customHeight="1" x14ac:dyDescent="0.2">
      <c r="D3549" s="26" t="s">
        <v>11</v>
      </c>
      <c r="E3549" s="30">
        <v>0</v>
      </c>
    </row>
    <row r="3550" spans="1:5" ht="12" customHeight="1" x14ac:dyDescent="0.2">
      <c r="D3550" s="26" t="s">
        <v>12</v>
      </c>
      <c r="E3550" s="30">
        <v>0</v>
      </c>
    </row>
    <row r="3551" spans="1:5" ht="12" customHeight="1" x14ac:dyDescent="0.2">
      <c r="D3551" s="26" t="s">
        <v>13</v>
      </c>
      <c r="E3551" s="30">
        <v>1150</v>
      </c>
    </row>
    <row r="3552" spans="1:5" ht="12" customHeight="1" x14ac:dyDescent="0.25">
      <c r="A3552" s="2" t="s">
        <v>14</v>
      </c>
      <c r="B3552" s="3" t="s">
        <v>171</v>
      </c>
    </row>
    <row r="3553" spans="1:6" ht="10.95" customHeight="1" x14ac:dyDescent="0.2"/>
    <row r="3554" spans="1:6" ht="45" customHeight="1" x14ac:dyDescent="0.2">
      <c r="A3554" s="4" t="s">
        <v>15</v>
      </c>
      <c r="B3554" s="4" t="s">
        <v>131</v>
      </c>
      <c r="C3554" s="27" t="s">
        <v>17</v>
      </c>
      <c r="D3554" s="27" t="s">
        <v>103</v>
      </c>
      <c r="E3554" s="27" t="s">
        <v>19</v>
      </c>
    </row>
    <row r="3555" spans="1:6" ht="31.5" customHeight="1" x14ac:dyDescent="0.2">
      <c r="A3555" s="5">
        <v>1</v>
      </c>
      <c r="B3555" s="6" t="s">
        <v>190</v>
      </c>
      <c r="C3555" s="16"/>
      <c r="D3555" s="16"/>
      <c r="E3555" s="17">
        <f>E3556+E3563</f>
        <v>1873292.0560000001</v>
      </c>
    </row>
    <row r="3556" spans="1:6" ht="15" customHeight="1" x14ac:dyDescent="0.2">
      <c r="A3556" s="7" t="s">
        <v>21</v>
      </c>
      <c r="B3556" s="6" t="s">
        <v>132</v>
      </c>
      <c r="C3556" s="16"/>
      <c r="D3556" s="16"/>
      <c r="E3556" s="17">
        <f>SUM(E3557:E3562)</f>
        <v>786133.59600000014</v>
      </c>
    </row>
    <row r="3557" spans="1:6" ht="11.25" customHeight="1" x14ac:dyDescent="0.2">
      <c r="A3557" s="15" t="s">
        <v>23</v>
      </c>
      <c r="B3557" s="9" t="s">
        <v>34</v>
      </c>
      <c r="C3557" s="16">
        <v>1.31</v>
      </c>
      <c r="D3557" s="16">
        <v>18781</v>
      </c>
      <c r="E3557" s="19">
        <f>ROUND(C3557*D3557,2)*12</f>
        <v>295237.32</v>
      </c>
      <c r="F3557" s="20"/>
    </row>
    <row r="3558" spans="1:6" ht="11.25" customHeight="1" x14ac:dyDescent="0.2">
      <c r="A3558" s="8" t="s">
        <v>31</v>
      </c>
      <c r="B3558" s="9" t="s">
        <v>36</v>
      </c>
      <c r="C3558" s="16">
        <v>1.27</v>
      </c>
      <c r="D3558" s="16">
        <v>18781</v>
      </c>
      <c r="E3558" s="19">
        <f>ROUND(C3558*D3558,2)*12</f>
        <v>286222.44</v>
      </c>
    </row>
    <row r="3559" spans="1:6" ht="11.25" customHeight="1" x14ac:dyDescent="0.2">
      <c r="A3559" s="8" t="s">
        <v>121</v>
      </c>
      <c r="B3559" s="9" t="s">
        <v>38</v>
      </c>
      <c r="C3559" s="16">
        <v>30.2</v>
      </c>
      <c r="D3559" s="16">
        <f>E3557</f>
        <v>295237.32</v>
      </c>
      <c r="E3559" s="19">
        <f>ROUND(C3559*D3559/100,2)</f>
        <v>89161.67</v>
      </c>
    </row>
    <row r="3560" spans="1:6" ht="11.25" customHeight="1" x14ac:dyDescent="0.2">
      <c r="A3560" s="8" t="s">
        <v>186</v>
      </c>
      <c r="B3560" s="9" t="s">
        <v>40</v>
      </c>
      <c r="C3560" s="16">
        <v>30.2</v>
      </c>
      <c r="D3560" s="16">
        <f>E3558</f>
        <v>286222.44</v>
      </c>
      <c r="E3560" s="19">
        <f>ROUND(C3560*D3560/100,2)</f>
        <v>86439.18</v>
      </c>
    </row>
    <row r="3561" spans="1:6" ht="11.25" customHeight="1" x14ac:dyDescent="0.2">
      <c r="A3561" s="8" t="s">
        <v>187</v>
      </c>
      <c r="B3561" s="9" t="s">
        <v>42</v>
      </c>
      <c r="C3561" s="16"/>
      <c r="D3561" s="16"/>
      <c r="E3561" s="19">
        <f>E3557*0.05</f>
        <v>14761.866000000002</v>
      </c>
    </row>
    <row r="3562" spans="1:6" ht="11.25" customHeight="1" x14ac:dyDescent="0.2">
      <c r="A3562" s="8" t="s">
        <v>188</v>
      </c>
      <c r="B3562" s="9" t="s">
        <v>44</v>
      </c>
      <c r="C3562" s="16"/>
      <c r="D3562" s="16"/>
      <c r="E3562" s="19">
        <f>ROUND(E3558*0.05,2)</f>
        <v>14311.12</v>
      </c>
    </row>
    <row r="3563" spans="1:6" ht="15" customHeight="1" x14ac:dyDescent="0.2">
      <c r="A3563" s="7" t="s">
        <v>45</v>
      </c>
      <c r="B3563" s="6" t="s">
        <v>189</v>
      </c>
      <c r="C3563" s="16"/>
      <c r="D3563" s="16"/>
      <c r="E3563" s="17">
        <f>E3564+E3565+E3566+E3567</f>
        <v>1087158.46</v>
      </c>
    </row>
    <row r="3564" spans="1:6" ht="11.25" customHeight="1" x14ac:dyDescent="0.2">
      <c r="A3564" s="8" t="s">
        <v>47</v>
      </c>
      <c r="B3564" s="9" t="s">
        <v>48</v>
      </c>
      <c r="C3564" s="16">
        <v>2.92</v>
      </c>
      <c r="D3564" s="16">
        <v>18781</v>
      </c>
      <c r="E3564" s="19">
        <f>ROUND(C3564*D3564,2)*12</f>
        <v>658086.24</v>
      </c>
      <c r="F3564" s="20"/>
    </row>
    <row r="3565" spans="1:6" ht="11.25" customHeight="1" x14ac:dyDescent="0.2">
      <c r="A3565" s="8" t="s">
        <v>49</v>
      </c>
      <c r="B3565" s="9" t="s">
        <v>50</v>
      </c>
      <c r="C3565" s="16">
        <v>30.2</v>
      </c>
      <c r="D3565" s="16">
        <f>E3564</f>
        <v>658086.24</v>
      </c>
      <c r="E3565" s="19">
        <f>ROUND(C3565*D3565/100,2)</f>
        <v>198742.04</v>
      </c>
    </row>
    <row r="3566" spans="1:6" ht="11.25" customHeight="1" x14ac:dyDescent="0.2">
      <c r="A3566" s="8" t="s">
        <v>51</v>
      </c>
      <c r="B3566" s="9" t="s">
        <v>52</v>
      </c>
      <c r="C3566" s="16"/>
      <c r="D3566" s="16"/>
      <c r="E3566" s="19">
        <f>ROUND(E3564*0.3,2)</f>
        <v>197425.87</v>
      </c>
    </row>
    <row r="3567" spans="1:6" ht="11.25" customHeight="1" x14ac:dyDescent="0.2">
      <c r="A3567" s="8" t="s">
        <v>53</v>
      </c>
      <c r="B3567" s="9" t="s">
        <v>54</v>
      </c>
      <c r="C3567" s="16"/>
      <c r="D3567" s="16"/>
      <c r="E3567" s="19">
        <f>ROUND(E3564*0.05,2)</f>
        <v>32904.31</v>
      </c>
    </row>
    <row r="3568" spans="1:6" ht="20.100000000000001" customHeight="1" x14ac:dyDescent="0.2">
      <c r="A3568" s="5">
        <v>2</v>
      </c>
      <c r="B3568" s="6" t="s">
        <v>57</v>
      </c>
      <c r="C3568" s="16"/>
      <c r="D3568" s="16"/>
      <c r="E3568" s="17">
        <f>E3569+E3571+E3572+E3573+E3574+E3575+E3570</f>
        <v>1026585.61</v>
      </c>
    </row>
    <row r="3569" spans="1:6" ht="11.25" customHeight="1" x14ac:dyDescent="0.2">
      <c r="A3569" s="35" t="s">
        <v>58</v>
      </c>
      <c r="B3569" s="9" t="s">
        <v>204</v>
      </c>
      <c r="C3569" s="16">
        <v>788.8</v>
      </c>
      <c r="D3569" s="16">
        <f>E3569/C3569</f>
        <v>177.97000507099392</v>
      </c>
      <c r="E3569" s="19">
        <v>140382.74</v>
      </c>
    </row>
    <row r="3570" spans="1:6" ht="11.25" customHeight="1" x14ac:dyDescent="0.2">
      <c r="A3570" s="35" t="s">
        <v>60</v>
      </c>
      <c r="B3570" s="9" t="s">
        <v>195</v>
      </c>
      <c r="C3570" s="16">
        <v>788.8</v>
      </c>
      <c r="D3570" s="16">
        <f>E3570/C3570</f>
        <v>219.63343052738338</v>
      </c>
      <c r="E3570" s="19">
        <v>173246.85</v>
      </c>
    </row>
    <row r="3571" spans="1:6" ht="11.25" customHeight="1" x14ac:dyDescent="0.2">
      <c r="A3571" s="35" t="s">
        <v>62</v>
      </c>
      <c r="B3571" s="9" t="s">
        <v>196</v>
      </c>
      <c r="C3571" s="16">
        <v>250.24</v>
      </c>
      <c r="D3571" s="16">
        <f>E3571/C3571</f>
        <v>848.40125479539631</v>
      </c>
      <c r="E3571" s="19">
        <v>212303.93</v>
      </c>
    </row>
    <row r="3572" spans="1:6" ht="11.25" customHeight="1" x14ac:dyDescent="0.2">
      <c r="A3572" s="35" t="s">
        <v>64</v>
      </c>
      <c r="B3572" s="9" t="s">
        <v>63</v>
      </c>
      <c r="C3572" s="16">
        <f>E3572/D3572</f>
        <v>60253.374771480812</v>
      </c>
      <c r="D3572" s="16">
        <v>5.47</v>
      </c>
      <c r="E3572" s="19">
        <f>333670-4084.04</f>
        <v>329585.96000000002</v>
      </c>
      <c r="F3572" s="20"/>
    </row>
    <row r="3573" spans="1:6" ht="11.25" customHeight="1" x14ac:dyDescent="0.2">
      <c r="A3573" s="35" t="s">
        <v>66</v>
      </c>
      <c r="B3573" s="9" t="s">
        <v>65</v>
      </c>
      <c r="C3573" s="16">
        <f>E3573/D3573</f>
        <v>2041.4535310527087</v>
      </c>
      <c r="D3573" s="16">
        <v>68.11</v>
      </c>
      <c r="E3573" s="19">
        <f>118242.72+20800.68</f>
        <v>139043.4</v>
      </c>
    </row>
    <row r="3574" spans="1:6" ht="11.25" customHeight="1" x14ac:dyDescent="0.2">
      <c r="A3574" s="35" t="s">
        <v>68</v>
      </c>
      <c r="B3574" s="9" t="s">
        <v>69</v>
      </c>
      <c r="C3574" s="16">
        <v>1587.3</v>
      </c>
      <c r="D3574" s="16">
        <f>E3574/C3574</f>
        <v>3.3499968499968498</v>
      </c>
      <c r="E3574" s="19">
        <v>5317.45</v>
      </c>
    </row>
    <row r="3575" spans="1:6" ht="11.25" customHeight="1" x14ac:dyDescent="0.2">
      <c r="A3575" s="35" t="s">
        <v>70</v>
      </c>
      <c r="B3575" s="9" t="s">
        <v>71</v>
      </c>
      <c r="C3575" s="16">
        <v>142.02000000000001</v>
      </c>
      <c r="D3575" s="16">
        <f>E3575/C3575</f>
        <v>188.03886776510348</v>
      </c>
      <c r="E3575" s="19">
        <v>26705.279999999999</v>
      </c>
    </row>
    <row r="3576" spans="1:6" ht="20.100000000000001" customHeight="1" x14ac:dyDescent="0.2">
      <c r="A3576" s="5">
        <v>3</v>
      </c>
      <c r="B3576" s="6" t="s">
        <v>72</v>
      </c>
      <c r="C3576" s="16"/>
      <c r="D3576" s="16"/>
      <c r="E3576" s="17">
        <f>E3577+E3578+E3579+E3580+E3581+E3582+E3583+E3584+E3585+E3587+E3586</f>
        <v>443312.72964119934</v>
      </c>
    </row>
    <row r="3577" spans="1:6" ht="11.25" customHeight="1" x14ac:dyDescent="0.2">
      <c r="A3577" s="8" t="s">
        <v>73</v>
      </c>
      <c r="B3577" s="9" t="s">
        <v>74</v>
      </c>
      <c r="C3577" s="34">
        <v>6</v>
      </c>
      <c r="D3577" s="16">
        <f>E3577/C3577/12</f>
        <v>3064.0080555555555</v>
      </c>
      <c r="E3577" s="19">
        <v>220608.58</v>
      </c>
    </row>
    <row r="3578" spans="1:6" ht="11.25" customHeight="1" x14ac:dyDescent="0.2">
      <c r="A3578" s="8" t="s">
        <v>75</v>
      </c>
      <c r="B3578" s="9" t="s">
        <v>76</v>
      </c>
      <c r="C3578" s="16"/>
      <c r="D3578" s="16"/>
      <c r="E3578" s="19">
        <v>0</v>
      </c>
    </row>
    <row r="3579" spans="1:6" ht="11.25" customHeight="1" x14ac:dyDescent="0.2">
      <c r="A3579" s="8" t="s">
        <v>77</v>
      </c>
      <c r="B3579" s="9" t="s">
        <v>78</v>
      </c>
      <c r="C3579" s="16"/>
      <c r="D3579" s="16"/>
      <c r="E3579" s="19">
        <v>0</v>
      </c>
    </row>
    <row r="3580" spans="1:6" ht="11.25" customHeight="1" x14ac:dyDescent="0.2">
      <c r="A3580" s="8" t="s">
        <v>79</v>
      </c>
      <c r="B3580" s="9" t="s">
        <v>80</v>
      </c>
      <c r="C3580" s="16">
        <v>10553</v>
      </c>
      <c r="D3580" s="16">
        <f>E3580/C3580</f>
        <v>4.1500691746422822</v>
      </c>
      <c r="E3580" s="19">
        <v>43795.68</v>
      </c>
    </row>
    <row r="3581" spans="1:6" ht="11.25" customHeight="1" x14ac:dyDescent="0.2">
      <c r="A3581" s="8" t="s">
        <v>81</v>
      </c>
      <c r="B3581" s="9" t="s">
        <v>82</v>
      </c>
      <c r="C3581" s="34">
        <v>432</v>
      </c>
      <c r="D3581" s="16">
        <f>E3581/C3581</f>
        <v>71.676481481481488</v>
      </c>
      <c r="E3581" s="19">
        <v>30964.240000000002</v>
      </c>
    </row>
    <row r="3582" spans="1:6" ht="11.25" customHeight="1" x14ac:dyDescent="0.2">
      <c r="A3582" s="8" t="s">
        <v>83</v>
      </c>
      <c r="B3582" s="9" t="s">
        <v>194</v>
      </c>
      <c r="C3582" s="34">
        <v>216</v>
      </c>
      <c r="D3582" s="16">
        <f>E3582/C3582</f>
        <v>85.836111111111109</v>
      </c>
      <c r="E3582" s="19">
        <v>18540.599999999999</v>
      </c>
    </row>
    <row r="3583" spans="1:6" ht="11.25" customHeight="1" x14ac:dyDescent="0.2">
      <c r="A3583" s="8" t="s">
        <v>85</v>
      </c>
      <c r="B3583" s="9" t="s">
        <v>86</v>
      </c>
      <c r="C3583" s="34"/>
      <c r="D3583" s="16"/>
      <c r="E3583" s="19">
        <v>0</v>
      </c>
    </row>
    <row r="3584" spans="1:6" ht="11.25" customHeight="1" x14ac:dyDescent="0.2">
      <c r="A3584" s="8" t="s">
        <v>87</v>
      </c>
      <c r="B3584" s="9" t="s">
        <v>88</v>
      </c>
      <c r="C3584" s="34">
        <v>216</v>
      </c>
      <c r="D3584" s="16">
        <f>E3584/C3584</f>
        <v>522.15949074074069</v>
      </c>
      <c r="E3584" s="19">
        <v>112786.45</v>
      </c>
    </row>
    <row r="3585" spans="1:6" ht="11.25" customHeight="1" x14ac:dyDescent="0.2">
      <c r="A3585" s="8" t="s">
        <v>89</v>
      </c>
      <c r="B3585" s="9" t="s">
        <v>90</v>
      </c>
      <c r="C3585" s="16"/>
      <c r="D3585" s="16"/>
      <c r="E3585" s="19">
        <v>0</v>
      </c>
    </row>
    <row r="3586" spans="1:6" ht="11.25" customHeight="1" x14ac:dyDescent="0.2">
      <c r="A3586" s="8" t="s">
        <v>91</v>
      </c>
      <c r="B3586" s="9" t="s">
        <v>202</v>
      </c>
      <c r="C3586" s="34">
        <v>6</v>
      </c>
      <c r="D3586" s="16">
        <f>E3586/C3586</f>
        <v>2769.5299401998959</v>
      </c>
      <c r="E3586" s="19">
        <f>2826.16*6*1.2*0.81663515754</f>
        <v>16617.179641199375</v>
      </c>
    </row>
    <row r="3587" spans="1:6" ht="11.25" customHeight="1" x14ac:dyDescent="0.2">
      <c r="A3587" s="8" t="s">
        <v>203</v>
      </c>
      <c r="B3587" s="9" t="s">
        <v>92</v>
      </c>
      <c r="C3587" s="16"/>
      <c r="D3587" s="16"/>
      <c r="E3587" s="19">
        <v>0</v>
      </c>
    </row>
    <row r="3588" spans="1:6" ht="15" customHeight="1" x14ac:dyDescent="0.2">
      <c r="A3588" s="5">
        <v>4</v>
      </c>
      <c r="B3588" s="6" t="s">
        <v>193</v>
      </c>
      <c r="C3588" s="16"/>
      <c r="D3588" s="16"/>
      <c r="E3588" s="17">
        <f>F3589/1.1*0.1</f>
        <v>334319.04000000004</v>
      </c>
    </row>
    <row r="3589" spans="1:6" ht="18.75" customHeight="1" x14ac:dyDescent="0.2">
      <c r="A3589" s="10"/>
      <c r="B3589" s="11" t="s">
        <v>94</v>
      </c>
      <c r="C3589" s="21"/>
      <c r="D3589" s="21"/>
      <c r="E3589" s="17">
        <f>E3555+E3568+E3576+E3588</f>
        <v>3677509.4356411994</v>
      </c>
      <c r="F3589" s="25">
        <f>E3542*29.04*12</f>
        <v>3677509.44</v>
      </c>
    </row>
    <row r="3590" spans="1:6" ht="15" customHeight="1" x14ac:dyDescent="0.25">
      <c r="A3590" s="10"/>
      <c r="B3590" s="11" t="s">
        <v>199</v>
      </c>
      <c r="C3590" s="21"/>
      <c r="D3590" s="21"/>
      <c r="E3590" s="22">
        <v>29.04</v>
      </c>
    </row>
    <row r="3591" spans="1:6" ht="10.95" customHeight="1" x14ac:dyDescent="0.2"/>
    <row r="3592" spans="1:6" ht="10.95" customHeight="1" x14ac:dyDescent="0.2"/>
    <row r="3593" spans="1:6" ht="10.95" customHeight="1" x14ac:dyDescent="0.2"/>
    <row r="3594" spans="1:6" ht="15" customHeight="1" x14ac:dyDescent="0.25">
      <c r="B3594" s="12" t="s">
        <v>96</v>
      </c>
    </row>
    <row r="3595" spans="1:6" ht="12" customHeight="1" x14ac:dyDescent="0.2"/>
    <row r="3596" spans="1:6" ht="13.2" customHeight="1" x14ac:dyDescent="0.25">
      <c r="B3596" s="3" t="s">
        <v>97</v>
      </c>
    </row>
    <row r="3597" spans="1:6" ht="7.95" customHeight="1" x14ac:dyDescent="0.2"/>
    <row r="3598" spans="1:6" ht="12" customHeight="1" x14ac:dyDescent="0.25">
      <c r="B3598" s="41" t="s">
        <v>100</v>
      </c>
      <c r="C3598" s="41"/>
      <c r="D3598" s="41"/>
      <c r="E3598" s="41"/>
    </row>
    <row r="3599" spans="1:6" ht="10.95" customHeight="1" x14ac:dyDescent="0.2"/>
    <row r="3600" spans="1:6" ht="10.95" customHeight="1" x14ac:dyDescent="0.2"/>
    <row r="3601" spans="1:5" ht="10.95" customHeight="1" x14ac:dyDescent="0.2"/>
    <row r="3602" spans="1:5" ht="16.2" customHeight="1" x14ac:dyDescent="0.2">
      <c r="A3602" s="39" t="s">
        <v>0</v>
      </c>
      <c r="B3602" s="39"/>
      <c r="C3602" s="39"/>
      <c r="D3602" s="39"/>
      <c r="E3602" s="39"/>
    </row>
    <row r="3603" spans="1:5" ht="10.95" customHeight="1" x14ac:dyDescent="0.2">
      <c r="A3603" s="40" t="s">
        <v>1</v>
      </c>
      <c r="B3603" s="40"/>
      <c r="C3603" s="40"/>
      <c r="D3603" s="40"/>
      <c r="E3603" s="40"/>
    </row>
    <row r="3604" spans="1:5" ht="13.2" customHeight="1" x14ac:dyDescent="0.2">
      <c r="A3604" s="40" t="s">
        <v>198</v>
      </c>
      <c r="B3604" s="40"/>
      <c r="C3604" s="40"/>
      <c r="D3604" s="40"/>
      <c r="E3604" s="40"/>
    </row>
    <row r="3605" spans="1:5" ht="10.95" customHeight="1" x14ac:dyDescent="0.2"/>
    <row r="3606" spans="1:5" ht="10.95" customHeight="1" x14ac:dyDescent="0.2">
      <c r="C3606" s="42" t="s">
        <v>3</v>
      </c>
      <c r="D3606" s="42"/>
      <c r="E3606" s="42"/>
    </row>
    <row r="3607" spans="1:5" ht="12" customHeight="1" x14ac:dyDescent="0.2">
      <c r="D3607" s="26" t="s">
        <v>4</v>
      </c>
      <c r="E3607" s="24">
        <v>10743.8</v>
      </c>
    </row>
    <row r="3608" spans="1:5" ht="12" customHeight="1" x14ac:dyDescent="0.2">
      <c r="D3608" s="26" t="s">
        <v>5</v>
      </c>
      <c r="E3608" s="23">
        <v>0</v>
      </c>
    </row>
    <row r="3609" spans="1:5" ht="12" customHeight="1" x14ac:dyDescent="0.2">
      <c r="D3609" s="26" t="s">
        <v>6</v>
      </c>
      <c r="E3609" s="30">
        <v>6</v>
      </c>
    </row>
    <row r="3610" spans="1:5" ht="12" customHeight="1" x14ac:dyDescent="0.2">
      <c r="D3610" s="26" t="s">
        <v>7</v>
      </c>
      <c r="E3610" s="30">
        <v>9</v>
      </c>
    </row>
    <row r="3611" spans="1:5" ht="12" customHeight="1" x14ac:dyDescent="0.2">
      <c r="D3611" s="26" t="s">
        <v>8</v>
      </c>
      <c r="E3611" s="30">
        <v>216</v>
      </c>
    </row>
    <row r="3612" spans="1:5" ht="12" customHeight="1" x14ac:dyDescent="0.2">
      <c r="D3612" s="26" t="s">
        <v>9</v>
      </c>
      <c r="E3612" s="30">
        <v>565</v>
      </c>
    </row>
    <row r="3613" spans="1:5" ht="12" customHeight="1" x14ac:dyDescent="0.2">
      <c r="D3613" s="26" t="s">
        <v>10</v>
      </c>
      <c r="E3613" s="30">
        <v>6</v>
      </c>
    </row>
    <row r="3614" spans="1:5" ht="12" customHeight="1" x14ac:dyDescent="0.2">
      <c r="D3614" s="26" t="s">
        <v>11</v>
      </c>
      <c r="E3614" s="30">
        <v>0</v>
      </c>
    </row>
    <row r="3615" spans="1:5" ht="12" customHeight="1" x14ac:dyDescent="0.2">
      <c r="D3615" s="26" t="s">
        <v>12</v>
      </c>
      <c r="E3615" s="30">
        <v>0</v>
      </c>
    </row>
    <row r="3616" spans="1:5" ht="12" customHeight="1" x14ac:dyDescent="0.2">
      <c r="D3616" s="26" t="s">
        <v>13</v>
      </c>
      <c r="E3616" s="30">
        <v>1103</v>
      </c>
    </row>
    <row r="3617" spans="1:6" ht="12" customHeight="1" x14ac:dyDescent="0.25">
      <c r="A3617" s="2" t="s">
        <v>14</v>
      </c>
      <c r="B3617" s="3" t="s">
        <v>172</v>
      </c>
    </row>
    <row r="3618" spans="1:6" ht="10.95" customHeight="1" x14ac:dyDescent="0.2"/>
    <row r="3619" spans="1:6" ht="45" customHeight="1" x14ac:dyDescent="0.2">
      <c r="A3619" s="4" t="s">
        <v>15</v>
      </c>
      <c r="B3619" s="4" t="s">
        <v>131</v>
      </c>
      <c r="C3619" s="27" t="s">
        <v>17</v>
      </c>
      <c r="D3619" s="27" t="s">
        <v>103</v>
      </c>
      <c r="E3619" s="27" t="s">
        <v>19</v>
      </c>
    </row>
    <row r="3620" spans="1:6" ht="31.5" customHeight="1" x14ac:dyDescent="0.2">
      <c r="A3620" s="5">
        <v>1</v>
      </c>
      <c r="B3620" s="6" t="s">
        <v>190</v>
      </c>
      <c r="C3620" s="16"/>
      <c r="D3620" s="16"/>
      <c r="E3620" s="17">
        <f>E3621+E3628</f>
        <v>2071173.1800000002</v>
      </c>
    </row>
    <row r="3621" spans="1:6" ht="15" customHeight="1" x14ac:dyDescent="0.2">
      <c r="A3621" s="7" t="s">
        <v>21</v>
      </c>
      <c r="B3621" s="6" t="s">
        <v>132</v>
      </c>
      <c r="C3621" s="16"/>
      <c r="D3621" s="16"/>
      <c r="E3621" s="17">
        <f>SUM(E3622:E3627)</f>
        <v>815206.57400000014</v>
      </c>
    </row>
    <row r="3622" spans="1:6" ht="11.25" customHeight="1" x14ac:dyDescent="0.2">
      <c r="A3622" s="15" t="s">
        <v>23</v>
      </c>
      <c r="B3622" s="9" t="s">
        <v>34</v>
      </c>
      <c r="C3622" s="16">
        <v>1.26</v>
      </c>
      <c r="D3622" s="16">
        <v>18781</v>
      </c>
      <c r="E3622" s="19">
        <f>ROUND(C3622*D3622,2)*12</f>
        <v>283968.72000000003</v>
      </c>
      <c r="F3622" s="20"/>
    </row>
    <row r="3623" spans="1:6" ht="11.25" customHeight="1" x14ac:dyDescent="0.2">
      <c r="A3623" s="8" t="s">
        <v>31</v>
      </c>
      <c r="B3623" s="9" t="s">
        <v>36</v>
      </c>
      <c r="C3623" s="16">
        <v>1.32</v>
      </c>
      <c r="D3623" s="16">
        <v>18781</v>
      </c>
      <c r="E3623" s="19">
        <f>ROUND(C3623*D3623,2)*12</f>
        <v>297491.03999999998</v>
      </c>
    </row>
    <row r="3624" spans="1:6" ht="11.25" customHeight="1" x14ac:dyDescent="0.2">
      <c r="A3624" s="8" t="s">
        <v>121</v>
      </c>
      <c r="B3624" s="9" t="s">
        <v>38</v>
      </c>
      <c r="C3624" s="16">
        <v>30.2</v>
      </c>
      <c r="D3624" s="16">
        <f>E3622</f>
        <v>283968.72000000003</v>
      </c>
      <c r="E3624" s="19">
        <f>ROUND(C3624*D3624/100,2)</f>
        <v>85758.55</v>
      </c>
    </row>
    <row r="3625" spans="1:6" ht="11.25" customHeight="1" x14ac:dyDescent="0.2">
      <c r="A3625" s="8" t="s">
        <v>186</v>
      </c>
      <c r="B3625" s="9" t="s">
        <v>40</v>
      </c>
      <c r="C3625" s="16">
        <v>30.2</v>
      </c>
      <c r="D3625" s="16">
        <f>E3623</f>
        <v>297491.03999999998</v>
      </c>
      <c r="E3625" s="19">
        <f>ROUND(C3625*D3625/100,2)</f>
        <v>89842.29</v>
      </c>
    </row>
    <row r="3626" spans="1:6" ht="11.25" customHeight="1" x14ac:dyDescent="0.2">
      <c r="A3626" s="8" t="s">
        <v>187</v>
      </c>
      <c r="B3626" s="9" t="s">
        <v>42</v>
      </c>
      <c r="C3626" s="16"/>
      <c r="D3626" s="16"/>
      <c r="E3626" s="19">
        <f>ROUND(E3622*0.1,2)</f>
        <v>28396.87</v>
      </c>
    </row>
    <row r="3627" spans="1:6" ht="11.25" customHeight="1" x14ac:dyDescent="0.2">
      <c r="A3627" s="8" t="s">
        <v>188</v>
      </c>
      <c r="B3627" s="9" t="s">
        <v>44</v>
      </c>
      <c r="C3627" s="16"/>
      <c r="D3627" s="16"/>
      <c r="E3627" s="19">
        <f>E3623*0.1</f>
        <v>29749.103999999999</v>
      </c>
    </row>
    <row r="3628" spans="1:6" ht="15" customHeight="1" x14ac:dyDescent="0.2">
      <c r="A3628" s="7" t="s">
        <v>45</v>
      </c>
      <c r="B3628" s="6" t="s">
        <v>189</v>
      </c>
      <c r="C3628" s="16"/>
      <c r="D3628" s="16"/>
      <c r="E3628" s="17">
        <f>E3629+E3630+E3631+E3632</f>
        <v>1255966.6059999999</v>
      </c>
    </row>
    <row r="3629" spans="1:6" ht="11.25" customHeight="1" x14ac:dyDescent="0.2">
      <c r="A3629" s="8" t="s">
        <v>47</v>
      </c>
      <c r="B3629" s="9" t="s">
        <v>48</v>
      </c>
      <c r="C3629" s="16">
        <v>2.93</v>
      </c>
      <c r="D3629" s="16">
        <v>18781</v>
      </c>
      <c r="E3629" s="19">
        <f>ROUND(C3629*D3629,2)*12</f>
        <v>660339.96</v>
      </c>
      <c r="F3629" s="20"/>
    </row>
    <row r="3630" spans="1:6" ht="11.25" customHeight="1" x14ac:dyDescent="0.2">
      <c r="A3630" s="8" t="s">
        <v>49</v>
      </c>
      <c r="B3630" s="9" t="s">
        <v>50</v>
      </c>
      <c r="C3630" s="16">
        <v>30.2</v>
      </c>
      <c r="D3630" s="16">
        <f>E3629</f>
        <v>660339.96</v>
      </c>
      <c r="E3630" s="19">
        <f>ROUND(C3630*D3630/100,2)</f>
        <v>199422.67</v>
      </c>
    </row>
    <row r="3631" spans="1:6" ht="11.25" customHeight="1" x14ac:dyDescent="0.2">
      <c r="A3631" s="8" t="s">
        <v>51</v>
      </c>
      <c r="B3631" s="9" t="s">
        <v>52</v>
      </c>
      <c r="C3631" s="16"/>
      <c r="D3631" s="16"/>
      <c r="E3631" s="19">
        <f>E3629*0.5</f>
        <v>330169.98</v>
      </c>
    </row>
    <row r="3632" spans="1:6" ht="11.25" customHeight="1" x14ac:dyDescent="0.2">
      <c r="A3632" s="8" t="s">
        <v>53</v>
      </c>
      <c r="B3632" s="9" t="s">
        <v>54</v>
      </c>
      <c r="C3632" s="16"/>
      <c r="D3632" s="16"/>
      <c r="E3632" s="19">
        <f>E3629*0.1</f>
        <v>66033.995999999999</v>
      </c>
    </row>
    <row r="3633" spans="1:6" ht="20.100000000000001" customHeight="1" x14ac:dyDescent="0.2">
      <c r="A3633" s="5">
        <v>2</v>
      </c>
      <c r="B3633" s="6" t="s">
        <v>57</v>
      </c>
      <c r="C3633" s="16"/>
      <c r="D3633" s="16"/>
      <c r="E3633" s="17">
        <f>E3634+E3636+E3637+E3638+E3639+E3640+E3635</f>
        <v>886930.69</v>
      </c>
    </row>
    <row r="3634" spans="1:6" ht="11.25" customHeight="1" x14ac:dyDescent="0.2">
      <c r="A3634" s="35" t="s">
        <v>58</v>
      </c>
      <c r="B3634" s="9" t="s">
        <v>204</v>
      </c>
      <c r="C3634" s="16">
        <v>819.25</v>
      </c>
      <c r="D3634" s="16">
        <f>E3634/C3634</f>
        <v>177.96999694842845</v>
      </c>
      <c r="E3634" s="19">
        <v>145801.92000000001</v>
      </c>
    </row>
    <row r="3635" spans="1:6" ht="11.25" customHeight="1" x14ac:dyDescent="0.2">
      <c r="A3635" s="35" t="s">
        <v>60</v>
      </c>
      <c r="B3635" s="9" t="s">
        <v>195</v>
      </c>
      <c r="C3635" s="16">
        <v>819.25</v>
      </c>
      <c r="D3635" s="16">
        <f>E3635/C3635</f>
        <v>219.63343301800427</v>
      </c>
      <c r="E3635" s="19">
        <v>179934.69</v>
      </c>
    </row>
    <row r="3636" spans="1:6" ht="11.25" customHeight="1" x14ac:dyDescent="0.2">
      <c r="A3636" s="35" t="s">
        <v>62</v>
      </c>
      <c r="B3636" s="9" t="s">
        <v>196</v>
      </c>
      <c r="C3636" s="16">
        <v>259.89999999999998</v>
      </c>
      <c r="D3636" s="16">
        <f>E3636/C3636</f>
        <v>848.4012312427858</v>
      </c>
      <c r="E3636" s="19">
        <v>220499.48</v>
      </c>
    </row>
    <row r="3637" spans="1:6" ht="11.25" customHeight="1" x14ac:dyDescent="0.2">
      <c r="A3637" s="35" t="s">
        <v>64</v>
      </c>
      <c r="B3637" s="9" t="s">
        <v>63</v>
      </c>
      <c r="C3637" s="16">
        <f>E3637/D3637</f>
        <v>35939.691042047532</v>
      </c>
      <c r="D3637" s="16">
        <v>5.47</v>
      </c>
      <c r="E3637" s="19">
        <f>147690+28099.43+20800.68</f>
        <v>196590.11</v>
      </c>
      <c r="F3637" s="20"/>
    </row>
    <row r="3638" spans="1:6" ht="11.25" customHeight="1" x14ac:dyDescent="0.2">
      <c r="A3638" s="35" t="s">
        <v>66</v>
      </c>
      <c r="B3638" s="9" t="s">
        <v>65</v>
      </c>
      <c r="C3638" s="16">
        <f>E3638/D3638</f>
        <v>1644.8170606372046</v>
      </c>
      <c r="D3638" s="16">
        <v>68.11</v>
      </c>
      <c r="E3638" s="19">
        <v>112028.49</v>
      </c>
    </row>
    <row r="3639" spans="1:6" ht="11.25" customHeight="1" x14ac:dyDescent="0.2">
      <c r="A3639" s="35" t="s">
        <v>68</v>
      </c>
      <c r="B3639" s="9" t="s">
        <v>69</v>
      </c>
      <c r="C3639" s="16">
        <v>1603.2</v>
      </c>
      <c r="D3639" s="16">
        <f>E3639/C3639</f>
        <v>3.35</v>
      </c>
      <c r="E3639" s="19">
        <v>5370.72</v>
      </c>
    </row>
    <row r="3640" spans="1:6" ht="11.25" customHeight="1" x14ac:dyDescent="0.2">
      <c r="A3640" s="35" t="s">
        <v>70</v>
      </c>
      <c r="B3640" s="9" t="s">
        <v>71</v>
      </c>
      <c r="C3640" s="16">
        <v>142.02000000000001</v>
      </c>
      <c r="D3640" s="16">
        <f>E3640/C3640</f>
        <v>188.03886776510348</v>
      </c>
      <c r="E3640" s="19">
        <v>26705.279999999999</v>
      </c>
    </row>
    <row r="3641" spans="1:6" ht="20.100000000000001" customHeight="1" x14ac:dyDescent="0.2">
      <c r="A3641" s="5">
        <v>3</v>
      </c>
      <c r="B3641" s="6" t="s">
        <v>72</v>
      </c>
      <c r="C3641" s="16"/>
      <c r="D3641" s="16"/>
      <c r="E3641" s="17">
        <f>E3642+E3643+E3644+E3645+E3646+E3647+E3648+E3649+E3650+E3652+E3651</f>
        <v>445531.96964119928</v>
      </c>
    </row>
    <row r="3642" spans="1:6" ht="11.25" customHeight="1" x14ac:dyDescent="0.2">
      <c r="A3642" s="8" t="s">
        <v>73</v>
      </c>
      <c r="B3642" s="9" t="s">
        <v>74</v>
      </c>
      <c r="C3642" s="34">
        <v>6</v>
      </c>
      <c r="D3642" s="16">
        <f>E3642/C3642/12</f>
        <v>3064.0080555555555</v>
      </c>
      <c r="E3642" s="19">
        <v>220608.58</v>
      </c>
    </row>
    <row r="3643" spans="1:6" ht="11.25" customHeight="1" x14ac:dyDescent="0.2">
      <c r="A3643" s="8" t="s">
        <v>75</v>
      </c>
      <c r="B3643" s="9" t="s">
        <v>76</v>
      </c>
      <c r="C3643" s="16"/>
      <c r="D3643" s="16"/>
      <c r="E3643" s="19">
        <v>0</v>
      </c>
    </row>
    <row r="3644" spans="1:6" ht="11.25" customHeight="1" x14ac:dyDescent="0.2">
      <c r="A3644" s="8" t="s">
        <v>77</v>
      </c>
      <c r="B3644" s="9" t="s">
        <v>78</v>
      </c>
      <c r="C3644" s="16"/>
      <c r="D3644" s="16"/>
      <c r="E3644" s="19">
        <v>0</v>
      </c>
    </row>
    <row r="3645" spans="1:6" ht="11.25" customHeight="1" x14ac:dyDescent="0.2">
      <c r="A3645" s="8" t="s">
        <v>79</v>
      </c>
      <c r="B3645" s="9" t="s">
        <v>80</v>
      </c>
      <c r="C3645" s="16">
        <v>10743.8</v>
      </c>
      <c r="D3645" s="16">
        <f>E3645/C3645</f>
        <v>4.1500698077030469</v>
      </c>
      <c r="E3645" s="19">
        <v>44587.519999999997</v>
      </c>
    </row>
    <row r="3646" spans="1:6" ht="11.25" customHeight="1" x14ac:dyDescent="0.2">
      <c r="A3646" s="8" t="s">
        <v>81</v>
      </c>
      <c r="B3646" s="9" t="s">
        <v>82</v>
      </c>
      <c r="C3646" s="34">
        <v>432</v>
      </c>
      <c r="D3646" s="16">
        <f>E3646/C3646</f>
        <v>71.676481481481488</v>
      </c>
      <c r="E3646" s="19">
        <v>30964.240000000002</v>
      </c>
    </row>
    <row r="3647" spans="1:6" ht="11.25" customHeight="1" x14ac:dyDescent="0.2">
      <c r="A3647" s="8" t="s">
        <v>83</v>
      </c>
      <c r="B3647" s="9" t="s">
        <v>194</v>
      </c>
      <c r="C3647" s="34">
        <v>216</v>
      </c>
      <c r="D3647" s="16">
        <f>E3647/C3647</f>
        <v>85.836111111111109</v>
      </c>
      <c r="E3647" s="19">
        <v>18540.599999999999</v>
      </c>
    </row>
    <row r="3648" spans="1:6" ht="11.25" customHeight="1" x14ac:dyDescent="0.2">
      <c r="A3648" s="8" t="s">
        <v>85</v>
      </c>
      <c r="B3648" s="9" t="s">
        <v>86</v>
      </c>
      <c r="C3648" s="34"/>
      <c r="D3648" s="16"/>
      <c r="E3648" s="19">
        <v>0</v>
      </c>
    </row>
    <row r="3649" spans="1:6" ht="11.25" customHeight="1" x14ac:dyDescent="0.2">
      <c r="A3649" s="8" t="s">
        <v>87</v>
      </c>
      <c r="B3649" s="9" t="s">
        <v>88</v>
      </c>
      <c r="C3649" s="34">
        <v>216</v>
      </c>
      <c r="D3649" s="16">
        <f>E3649/C3649</f>
        <v>528.76782407407416</v>
      </c>
      <c r="E3649" s="19">
        <v>114213.85</v>
      </c>
    </row>
    <row r="3650" spans="1:6" ht="11.25" customHeight="1" x14ac:dyDescent="0.2">
      <c r="A3650" s="8" t="s">
        <v>89</v>
      </c>
      <c r="B3650" s="9" t="s">
        <v>90</v>
      </c>
      <c r="C3650" s="16"/>
      <c r="D3650" s="16"/>
      <c r="E3650" s="19">
        <v>0</v>
      </c>
    </row>
    <row r="3651" spans="1:6" ht="11.25" customHeight="1" x14ac:dyDescent="0.2">
      <c r="A3651" s="8" t="s">
        <v>91</v>
      </c>
      <c r="B3651" s="9" t="s">
        <v>202</v>
      </c>
      <c r="C3651" s="34">
        <v>6</v>
      </c>
      <c r="D3651" s="16">
        <f>E3651/C3651</f>
        <v>2769.5299401998959</v>
      </c>
      <c r="E3651" s="19">
        <f>2826.16*6*1.2*0.81663515754</f>
        <v>16617.179641199375</v>
      </c>
    </row>
    <row r="3652" spans="1:6" ht="11.25" customHeight="1" x14ac:dyDescent="0.2">
      <c r="A3652" s="8" t="s">
        <v>203</v>
      </c>
      <c r="B3652" s="9" t="s">
        <v>92</v>
      </c>
      <c r="C3652" s="16"/>
      <c r="D3652" s="16"/>
      <c r="E3652" s="19">
        <v>0</v>
      </c>
    </row>
    <row r="3653" spans="1:6" ht="15" customHeight="1" x14ac:dyDescent="0.2">
      <c r="A3653" s="5">
        <v>4</v>
      </c>
      <c r="B3653" s="6" t="s">
        <v>193</v>
      </c>
      <c r="C3653" s="16"/>
      <c r="D3653" s="16"/>
      <c r="E3653" s="17">
        <f>F3654/1.1*0.1</f>
        <v>340363.58399999997</v>
      </c>
    </row>
    <row r="3654" spans="1:6" ht="18.75" customHeight="1" x14ac:dyDescent="0.2">
      <c r="A3654" s="10"/>
      <c r="B3654" s="11" t="s">
        <v>94</v>
      </c>
      <c r="C3654" s="21"/>
      <c r="D3654" s="21"/>
      <c r="E3654" s="17">
        <f>E3620+E3633+E3641+E3653</f>
        <v>3743999.4236411992</v>
      </c>
      <c r="F3654" s="25">
        <f>E3607*29.04*12</f>
        <v>3743999.4239999996</v>
      </c>
    </row>
    <row r="3655" spans="1:6" ht="15" customHeight="1" x14ac:dyDescent="0.25">
      <c r="A3655" s="10"/>
      <c r="B3655" s="11" t="s">
        <v>199</v>
      </c>
      <c r="C3655" s="21"/>
      <c r="D3655" s="21"/>
      <c r="E3655" s="22">
        <v>29.04</v>
      </c>
    </row>
    <row r="3656" spans="1:6" ht="10.95" customHeight="1" x14ac:dyDescent="0.2"/>
    <row r="3657" spans="1:6" ht="10.95" customHeight="1" x14ac:dyDescent="0.2"/>
    <row r="3658" spans="1:6" ht="10.95" customHeight="1" x14ac:dyDescent="0.2"/>
    <row r="3659" spans="1:6" ht="15" customHeight="1" x14ac:dyDescent="0.25">
      <c r="B3659" s="12" t="s">
        <v>96</v>
      </c>
    </row>
    <row r="3660" spans="1:6" ht="12" customHeight="1" x14ac:dyDescent="0.2"/>
    <row r="3661" spans="1:6" ht="13.2" customHeight="1" x14ac:dyDescent="0.25">
      <c r="B3661" s="3" t="s">
        <v>97</v>
      </c>
    </row>
    <row r="3662" spans="1:6" ht="7.95" customHeight="1" x14ac:dyDescent="0.2"/>
    <row r="3663" spans="1:6" ht="12" customHeight="1" x14ac:dyDescent="0.25">
      <c r="B3663" s="41" t="s">
        <v>100</v>
      </c>
      <c r="C3663" s="41"/>
      <c r="D3663" s="41"/>
      <c r="E3663" s="41"/>
    </row>
    <row r="3664" spans="1:6" ht="10.95" customHeight="1" x14ac:dyDescent="0.2"/>
    <row r="3665" spans="1:5" ht="10.95" customHeight="1" x14ac:dyDescent="0.2"/>
    <row r="3666" spans="1:5" ht="10.95" customHeight="1" x14ac:dyDescent="0.2"/>
    <row r="3667" spans="1:5" ht="16.2" customHeight="1" x14ac:dyDescent="0.2">
      <c r="A3667" s="39" t="s">
        <v>0</v>
      </c>
      <c r="B3667" s="39"/>
      <c r="C3667" s="39"/>
      <c r="D3667" s="39"/>
      <c r="E3667" s="39"/>
    </row>
    <row r="3668" spans="1:5" ht="10.95" customHeight="1" x14ac:dyDescent="0.2">
      <c r="A3668" s="40" t="s">
        <v>1</v>
      </c>
      <c r="B3668" s="40"/>
      <c r="C3668" s="40"/>
      <c r="D3668" s="40"/>
      <c r="E3668" s="40"/>
    </row>
    <row r="3669" spans="1:5" ht="13.2" customHeight="1" x14ac:dyDescent="0.2">
      <c r="A3669" s="40" t="s">
        <v>198</v>
      </c>
      <c r="B3669" s="40"/>
      <c r="C3669" s="40"/>
      <c r="D3669" s="40"/>
      <c r="E3669" s="40"/>
    </row>
    <row r="3670" spans="1:5" ht="10.95" customHeight="1" x14ac:dyDescent="0.2"/>
    <row r="3671" spans="1:5" ht="10.95" customHeight="1" x14ac:dyDescent="0.2">
      <c r="C3671" s="42" t="s">
        <v>3</v>
      </c>
      <c r="D3671" s="42"/>
      <c r="E3671" s="42"/>
    </row>
    <row r="3672" spans="1:5" ht="12" customHeight="1" x14ac:dyDescent="0.2">
      <c r="D3672" s="26" t="s">
        <v>4</v>
      </c>
      <c r="E3672" s="24">
        <v>10633.8</v>
      </c>
    </row>
    <row r="3673" spans="1:5" ht="12" customHeight="1" x14ac:dyDescent="0.2">
      <c r="D3673" s="26" t="s">
        <v>5</v>
      </c>
      <c r="E3673" s="23">
        <v>0</v>
      </c>
    </row>
    <row r="3674" spans="1:5" ht="12" customHeight="1" x14ac:dyDescent="0.2">
      <c r="D3674" s="26" t="s">
        <v>6</v>
      </c>
      <c r="E3674" s="30">
        <v>6</v>
      </c>
    </row>
    <row r="3675" spans="1:5" ht="12" customHeight="1" x14ac:dyDescent="0.2">
      <c r="D3675" s="26" t="s">
        <v>7</v>
      </c>
      <c r="E3675" s="30">
        <v>9</v>
      </c>
    </row>
    <row r="3676" spans="1:5" ht="12" customHeight="1" x14ac:dyDescent="0.2">
      <c r="D3676" s="26" t="s">
        <v>8</v>
      </c>
      <c r="E3676" s="30">
        <v>216</v>
      </c>
    </row>
    <row r="3677" spans="1:5" ht="12" customHeight="1" x14ac:dyDescent="0.2">
      <c r="D3677" s="26" t="s">
        <v>9</v>
      </c>
      <c r="E3677" s="30">
        <v>683</v>
      </c>
    </row>
    <row r="3678" spans="1:5" ht="12" customHeight="1" x14ac:dyDescent="0.2">
      <c r="D3678" s="26" t="s">
        <v>10</v>
      </c>
      <c r="E3678" s="30">
        <v>6</v>
      </c>
    </row>
    <row r="3679" spans="1:5" ht="12" customHeight="1" x14ac:dyDescent="0.2">
      <c r="D3679" s="26" t="s">
        <v>11</v>
      </c>
      <c r="E3679" s="30">
        <v>0</v>
      </c>
    </row>
    <row r="3680" spans="1:5" ht="12" customHeight="1" x14ac:dyDescent="0.2">
      <c r="D3680" s="26" t="s">
        <v>12</v>
      </c>
      <c r="E3680" s="30">
        <v>0</v>
      </c>
    </row>
    <row r="3681" spans="1:6" ht="12" customHeight="1" x14ac:dyDescent="0.2">
      <c r="D3681" s="26" t="s">
        <v>13</v>
      </c>
      <c r="E3681" s="30">
        <v>1162</v>
      </c>
    </row>
    <row r="3682" spans="1:6" ht="12" customHeight="1" x14ac:dyDescent="0.25">
      <c r="A3682" s="2" t="s">
        <v>14</v>
      </c>
      <c r="B3682" s="3" t="s">
        <v>173</v>
      </c>
    </row>
    <row r="3683" spans="1:6" ht="10.95" customHeight="1" x14ac:dyDescent="0.2"/>
    <row r="3684" spans="1:6" ht="45" customHeight="1" x14ac:dyDescent="0.2">
      <c r="A3684" s="4" t="s">
        <v>15</v>
      </c>
      <c r="B3684" s="4" t="s">
        <v>131</v>
      </c>
      <c r="C3684" s="27" t="s">
        <v>17</v>
      </c>
      <c r="D3684" s="27" t="s">
        <v>103</v>
      </c>
      <c r="E3684" s="27" t="s">
        <v>19</v>
      </c>
    </row>
    <row r="3685" spans="1:6" ht="31.5" customHeight="1" x14ac:dyDescent="0.2">
      <c r="A3685" s="5">
        <v>1</v>
      </c>
      <c r="B3685" s="6" t="s">
        <v>190</v>
      </c>
      <c r="C3685" s="16"/>
      <c r="D3685" s="16"/>
      <c r="E3685" s="17">
        <f>E3686+E3693</f>
        <v>1838837.1920000003</v>
      </c>
    </row>
    <row r="3686" spans="1:6" ht="15" customHeight="1" x14ac:dyDescent="0.2">
      <c r="A3686" s="7" t="s">
        <v>21</v>
      </c>
      <c r="B3686" s="6" t="s">
        <v>132</v>
      </c>
      <c r="C3686" s="16"/>
      <c r="D3686" s="16"/>
      <c r="E3686" s="17">
        <f>SUM(E3687:E3692)</f>
        <v>925796.62600000005</v>
      </c>
    </row>
    <row r="3687" spans="1:6" ht="11.25" customHeight="1" x14ac:dyDescent="0.2">
      <c r="A3687" s="15" t="s">
        <v>23</v>
      </c>
      <c r="B3687" s="9" t="s">
        <v>34</v>
      </c>
      <c r="C3687" s="16">
        <v>1.33</v>
      </c>
      <c r="D3687" s="16">
        <v>18781</v>
      </c>
      <c r="E3687" s="19">
        <f>ROUND(C3687*D3687,2)*12</f>
        <v>299744.76</v>
      </c>
      <c r="F3687" s="20"/>
    </row>
    <row r="3688" spans="1:6" ht="11.25" customHeight="1" x14ac:dyDescent="0.2">
      <c r="A3688" s="8" t="s">
        <v>31</v>
      </c>
      <c r="B3688" s="9" t="s">
        <v>36</v>
      </c>
      <c r="C3688" s="16">
        <v>1.6</v>
      </c>
      <c r="D3688" s="16">
        <v>18781</v>
      </c>
      <c r="E3688" s="19">
        <f>ROUND(C3688*D3688,2)*12</f>
        <v>360595.19999999995</v>
      </c>
    </row>
    <row r="3689" spans="1:6" ht="11.25" customHeight="1" x14ac:dyDescent="0.2">
      <c r="A3689" s="8" t="s">
        <v>121</v>
      </c>
      <c r="B3689" s="9" t="s">
        <v>38</v>
      </c>
      <c r="C3689" s="16">
        <v>30.2</v>
      </c>
      <c r="D3689" s="16">
        <f>E3687</f>
        <v>299744.76</v>
      </c>
      <c r="E3689" s="19">
        <f>ROUND(C3689*D3689/100,2)</f>
        <v>90522.92</v>
      </c>
    </row>
    <row r="3690" spans="1:6" ht="11.25" customHeight="1" x14ac:dyDescent="0.2">
      <c r="A3690" s="8" t="s">
        <v>186</v>
      </c>
      <c r="B3690" s="9" t="s">
        <v>40</v>
      </c>
      <c r="C3690" s="16">
        <v>30.2</v>
      </c>
      <c r="D3690" s="16">
        <f>E3688</f>
        <v>360595.19999999995</v>
      </c>
      <c r="E3690" s="19">
        <f>ROUND(C3690*D3690/100,2)</f>
        <v>108899.75</v>
      </c>
    </row>
    <row r="3691" spans="1:6" ht="11.25" customHeight="1" x14ac:dyDescent="0.2">
      <c r="A3691" s="8" t="s">
        <v>187</v>
      </c>
      <c r="B3691" s="9" t="s">
        <v>42</v>
      </c>
      <c r="C3691" s="16"/>
      <c r="D3691" s="16"/>
      <c r="E3691" s="19">
        <f>E3687*0.1</f>
        <v>29974.476000000002</v>
      </c>
    </row>
    <row r="3692" spans="1:6" ht="11.25" customHeight="1" x14ac:dyDescent="0.2">
      <c r="A3692" s="8" t="s">
        <v>188</v>
      </c>
      <c r="B3692" s="9" t="s">
        <v>44</v>
      </c>
      <c r="C3692" s="16"/>
      <c r="D3692" s="16"/>
      <c r="E3692" s="19">
        <f>E3688*0.1</f>
        <v>36059.519999999997</v>
      </c>
    </row>
    <row r="3693" spans="1:6" ht="15" customHeight="1" x14ac:dyDescent="0.2">
      <c r="A3693" s="7" t="s">
        <v>45</v>
      </c>
      <c r="B3693" s="6" t="s">
        <v>189</v>
      </c>
      <c r="C3693" s="16"/>
      <c r="D3693" s="16"/>
      <c r="E3693" s="17">
        <f>E3694+E3695+E3696+E3697</f>
        <v>913040.56600000011</v>
      </c>
    </row>
    <row r="3694" spans="1:6" ht="11.25" customHeight="1" x14ac:dyDescent="0.2">
      <c r="A3694" s="8" t="s">
        <v>47</v>
      </c>
      <c r="B3694" s="9" t="s">
        <v>48</v>
      </c>
      <c r="C3694" s="16">
        <f>1.92+0.21</f>
        <v>2.13</v>
      </c>
      <c r="D3694" s="16">
        <v>18781</v>
      </c>
      <c r="E3694" s="19">
        <f>ROUND(C3694*D3694,2)*12</f>
        <v>480042.36</v>
      </c>
      <c r="F3694" s="20"/>
    </row>
    <row r="3695" spans="1:6" ht="11.25" customHeight="1" x14ac:dyDescent="0.2">
      <c r="A3695" s="8" t="s">
        <v>49</v>
      </c>
      <c r="B3695" s="9" t="s">
        <v>50</v>
      </c>
      <c r="C3695" s="16">
        <v>30.2</v>
      </c>
      <c r="D3695" s="16">
        <f>E3694</f>
        <v>480042.36</v>
      </c>
      <c r="E3695" s="19">
        <f>ROUND(C3695*D3695/100,2)</f>
        <v>144972.79</v>
      </c>
    </row>
    <row r="3696" spans="1:6" ht="11.25" customHeight="1" x14ac:dyDescent="0.2">
      <c r="A3696" s="8" t="s">
        <v>51</v>
      </c>
      <c r="B3696" s="9" t="s">
        <v>52</v>
      </c>
      <c r="C3696" s="16"/>
      <c r="D3696" s="16"/>
      <c r="E3696" s="19">
        <f>E3694*0.5</f>
        <v>240021.18</v>
      </c>
    </row>
    <row r="3697" spans="1:6" ht="11.25" customHeight="1" x14ac:dyDescent="0.2">
      <c r="A3697" s="8" t="s">
        <v>53</v>
      </c>
      <c r="B3697" s="9" t="s">
        <v>54</v>
      </c>
      <c r="C3697" s="16"/>
      <c r="D3697" s="16"/>
      <c r="E3697" s="19">
        <f>E3694*0.1</f>
        <v>48004.236000000004</v>
      </c>
    </row>
    <row r="3698" spans="1:6" ht="20.100000000000001" customHeight="1" x14ac:dyDescent="0.2">
      <c r="A3698" s="5">
        <v>2</v>
      </c>
      <c r="B3698" s="6" t="s">
        <v>57</v>
      </c>
      <c r="C3698" s="16"/>
      <c r="D3698" s="16"/>
      <c r="E3698" s="17">
        <f>E3699+E3701+E3702+E3703+E3704+E3705+E3700</f>
        <v>1095865.6000000001</v>
      </c>
    </row>
    <row r="3699" spans="1:6" ht="11.25" customHeight="1" x14ac:dyDescent="0.2">
      <c r="A3699" s="35" t="s">
        <v>58</v>
      </c>
      <c r="B3699" s="9" t="s">
        <v>204</v>
      </c>
      <c r="C3699" s="16">
        <v>990.35</v>
      </c>
      <c r="D3699" s="16">
        <f>E3699/C3699</f>
        <v>177.97000050487202</v>
      </c>
      <c r="E3699" s="19">
        <v>176252.59</v>
      </c>
    </row>
    <row r="3700" spans="1:6" ht="11.25" customHeight="1" x14ac:dyDescent="0.2">
      <c r="A3700" s="35" t="s">
        <v>60</v>
      </c>
      <c r="B3700" s="9" t="s">
        <v>195</v>
      </c>
      <c r="C3700" s="16">
        <v>990.35</v>
      </c>
      <c r="D3700" s="16">
        <f>E3700/C3700</f>
        <v>219.6334326248296</v>
      </c>
      <c r="E3700" s="19">
        <v>217513.97</v>
      </c>
    </row>
    <row r="3701" spans="1:6" ht="11.25" customHeight="1" x14ac:dyDescent="0.2">
      <c r="A3701" s="35" t="s">
        <v>62</v>
      </c>
      <c r="B3701" s="9" t="s">
        <v>196</v>
      </c>
      <c r="C3701" s="16">
        <v>314.18</v>
      </c>
      <c r="D3701" s="16">
        <f>E3701/C3701</f>
        <v>848.4012349608505</v>
      </c>
      <c r="E3701" s="19">
        <v>266550.7</v>
      </c>
    </row>
    <row r="3702" spans="1:6" ht="11.25" customHeight="1" x14ac:dyDescent="0.2">
      <c r="A3702" s="35" t="s">
        <v>64</v>
      </c>
      <c r="B3702" s="9" t="s">
        <v>63</v>
      </c>
      <c r="C3702" s="16">
        <f>E3702/D3702</f>
        <v>52517.299817184648</v>
      </c>
      <c r="D3702" s="16">
        <v>5.47</v>
      </c>
      <c r="E3702" s="19">
        <f>257090+9378.95+20800.68</f>
        <v>287269.63</v>
      </c>
      <c r="F3702" s="20"/>
    </row>
    <row r="3703" spans="1:6" ht="11.25" customHeight="1" x14ac:dyDescent="0.2">
      <c r="A3703" s="35" t="s">
        <v>66</v>
      </c>
      <c r="B3703" s="9" t="s">
        <v>65</v>
      </c>
      <c r="C3703" s="16">
        <f>E3703/D3703</f>
        <v>1706.831449126413</v>
      </c>
      <c r="D3703" s="16">
        <v>68.11</v>
      </c>
      <c r="E3703" s="19">
        <v>116252.29</v>
      </c>
    </row>
    <row r="3704" spans="1:6" ht="11.25" customHeight="1" x14ac:dyDescent="0.2">
      <c r="A3704" s="35" t="s">
        <v>68</v>
      </c>
      <c r="B3704" s="9" t="s">
        <v>69</v>
      </c>
      <c r="C3704" s="16">
        <v>1588.4</v>
      </c>
      <c r="D3704" s="16">
        <f>E3704/C3704</f>
        <v>3.35</v>
      </c>
      <c r="E3704" s="19">
        <v>5321.14</v>
      </c>
    </row>
    <row r="3705" spans="1:6" ht="11.25" customHeight="1" x14ac:dyDescent="0.2">
      <c r="A3705" s="35" t="s">
        <v>70</v>
      </c>
      <c r="B3705" s="9" t="s">
        <v>71</v>
      </c>
      <c r="C3705" s="16">
        <v>142.02000000000001</v>
      </c>
      <c r="D3705" s="16">
        <f>E3705/C3705</f>
        <v>188.03886776510348</v>
      </c>
      <c r="E3705" s="19">
        <v>26705.279999999999</v>
      </c>
    </row>
    <row r="3706" spans="1:6" ht="20.100000000000001" customHeight="1" x14ac:dyDescent="0.2">
      <c r="A3706" s="5">
        <v>3</v>
      </c>
      <c r="B3706" s="6" t="s">
        <v>72</v>
      </c>
      <c r="C3706" s="16"/>
      <c r="D3706" s="16"/>
      <c r="E3706" s="17">
        <f>E3707+E3708+E3709+E3710+E3711+E3712+E3713+E3714+E3715+E3717+E3716</f>
        <v>434085.04576079961</v>
      </c>
    </row>
    <row r="3707" spans="1:6" ht="11.25" customHeight="1" x14ac:dyDescent="0.2">
      <c r="A3707" s="8" t="s">
        <v>73</v>
      </c>
      <c r="B3707" s="9" t="s">
        <v>74</v>
      </c>
      <c r="C3707" s="34">
        <v>6</v>
      </c>
      <c r="D3707" s="16">
        <f>E3707/C3707/12</f>
        <v>2935.2959722222222</v>
      </c>
      <c r="E3707" s="19">
        <v>211341.31</v>
      </c>
    </row>
    <row r="3708" spans="1:6" ht="11.25" customHeight="1" x14ac:dyDescent="0.2">
      <c r="A3708" s="8" t="s">
        <v>75</v>
      </c>
      <c r="B3708" s="9" t="s">
        <v>76</v>
      </c>
      <c r="C3708" s="16"/>
      <c r="D3708" s="16"/>
      <c r="E3708" s="19">
        <v>0</v>
      </c>
    </row>
    <row r="3709" spans="1:6" ht="11.25" customHeight="1" x14ac:dyDescent="0.2">
      <c r="A3709" s="8" t="s">
        <v>77</v>
      </c>
      <c r="B3709" s="9" t="s">
        <v>78</v>
      </c>
      <c r="C3709" s="16"/>
      <c r="D3709" s="16"/>
      <c r="E3709" s="19">
        <v>0</v>
      </c>
    </row>
    <row r="3710" spans="1:6" ht="11.25" customHeight="1" x14ac:dyDescent="0.2">
      <c r="A3710" s="8" t="s">
        <v>79</v>
      </c>
      <c r="B3710" s="9" t="s">
        <v>80</v>
      </c>
      <c r="C3710" s="16">
        <v>10633.8</v>
      </c>
      <c r="D3710" s="16">
        <f>E3710/C3710</f>
        <v>4.1499915364215996</v>
      </c>
      <c r="E3710" s="19">
        <v>44130.18</v>
      </c>
    </row>
    <row r="3711" spans="1:6" ht="11.25" customHeight="1" x14ac:dyDescent="0.2">
      <c r="A3711" s="8" t="s">
        <v>81</v>
      </c>
      <c r="B3711" s="9" t="s">
        <v>82</v>
      </c>
      <c r="C3711" s="34">
        <v>432</v>
      </c>
      <c r="D3711" s="16">
        <f>E3711/C3711</f>
        <v>71.676574074074068</v>
      </c>
      <c r="E3711" s="19">
        <v>30964.28</v>
      </c>
    </row>
    <row r="3712" spans="1:6" ht="11.25" customHeight="1" x14ac:dyDescent="0.2">
      <c r="A3712" s="8" t="s">
        <v>83</v>
      </c>
      <c r="B3712" s="9" t="s">
        <v>194</v>
      </c>
      <c r="C3712" s="34">
        <v>216</v>
      </c>
      <c r="D3712" s="16">
        <f>E3712/C3712</f>
        <v>85.652546296296293</v>
      </c>
      <c r="E3712" s="19">
        <v>18500.95</v>
      </c>
    </row>
    <row r="3713" spans="1:6" ht="11.25" customHeight="1" x14ac:dyDescent="0.2">
      <c r="A3713" s="8" t="s">
        <v>85</v>
      </c>
      <c r="B3713" s="9" t="s">
        <v>86</v>
      </c>
      <c r="C3713" s="34"/>
      <c r="D3713" s="16"/>
      <c r="E3713" s="19">
        <v>0</v>
      </c>
    </row>
    <row r="3714" spans="1:6" ht="11.25" customHeight="1" x14ac:dyDescent="0.2">
      <c r="A3714" s="8" t="s">
        <v>87</v>
      </c>
      <c r="B3714" s="9" t="s">
        <v>88</v>
      </c>
      <c r="C3714" s="34">
        <v>216</v>
      </c>
      <c r="D3714" s="16">
        <f>E3714/C3714</f>
        <v>526.92087962962967</v>
      </c>
      <c r="E3714" s="19">
        <v>113814.91</v>
      </c>
    </row>
    <row r="3715" spans="1:6" ht="11.25" customHeight="1" x14ac:dyDescent="0.2">
      <c r="A3715" s="8" t="s">
        <v>89</v>
      </c>
      <c r="B3715" s="9" t="s">
        <v>90</v>
      </c>
      <c r="C3715" s="16"/>
      <c r="D3715" s="16"/>
      <c r="E3715" s="19">
        <v>0</v>
      </c>
    </row>
    <row r="3716" spans="1:6" ht="11.25" customHeight="1" x14ac:dyDescent="0.2">
      <c r="A3716" s="8" t="s">
        <v>91</v>
      </c>
      <c r="B3716" s="9" t="s">
        <v>202</v>
      </c>
      <c r="C3716" s="34">
        <v>6</v>
      </c>
      <c r="D3716" s="16">
        <f>E3716/C3716</f>
        <v>2555.5692934665967</v>
      </c>
      <c r="E3716" s="19">
        <f>1773.04*2*1.2+2826.16*4*1.2*0.81663515754</f>
        <v>15333.41576079958</v>
      </c>
    </row>
    <row r="3717" spans="1:6" ht="11.25" customHeight="1" x14ac:dyDescent="0.2">
      <c r="A3717" s="8" t="s">
        <v>203</v>
      </c>
      <c r="B3717" s="9" t="s">
        <v>92</v>
      </c>
      <c r="C3717" s="16"/>
      <c r="D3717" s="16"/>
      <c r="E3717" s="19">
        <v>0</v>
      </c>
    </row>
    <row r="3718" spans="1:6" ht="15" customHeight="1" x14ac:dyDescent="0.2">
      <c r="A3718" s="5">
        <v>4</v>
      </c>
      <c r="B3718" s="6" t="s">
        <v>193</v>
      </c>
      <c r="C3718" s="16"/>
      <c r="D3718" s="16"/>
      <c r="E3718" s="17">
        <f>F3719/1.1*0.1</f>
        <v>336878.78399999999</v>
      </c>
    </row>
    <row r="3719" spans="1:6" ht="18.75" customHeight="1" x14ac:dyDescent="0.2">
      <c r="A3719" s="10"/>
      <c r="B3719" s="11" t="s">
        <v>94</v>
      </c>
      <c r="C3719" s="21"/>
      <c r="D3719" s="21"/>
      <c r="E3719" s="17">
        <f>E3685+E3698+E3706+E3718</f>
        <v>3705666.6217608</v>
      </c>
      <c r="F3719" s="25">
        <f>E3672*29.04*12</f>
        <v>3705666.6239999998</v>
      </c>
    </row>
    <row r="3720" spans="1:6" ht="15" customHeight="1" x14ac:dyDescent="0.25">
      <c r="A3720" s="10"/>
      <c r="B3720" s="11" t="s">
        <v>199</v>
      </c>
      <c r="C3720" s="21"/>
      <c r="D3720" s="21"/>
      <c r="E3720" s="22">
        <v>29.04</v>
      </c>
    </row>
    <row r="3721" spans="1:6" ht="10.95" customHeight="1" x14ac:dyDescent="0.2"/>
    <row r="3722" spans="1:6" ht="10.95" customHeight="1" x14ac:dyDescent="0.2"/>
    <row r="3723" spans="1:6" ht="10.95" customHeight="1" x14ac:dyDescent="0.2"/>
    <row r="3724" spans="1:6" ht="15" customHeight="1" x14ac:dyDescent="0.25">
      <c r="B3724" s="12" t="s">
        <v>96</v>
      </c>
    </row>
    <row r="3725" spans="1:6" ht="12" customHeight="1" x14ac:dyDescent="0.2"/>
    <row r="3726" spans="1:6" ht="13.2" customHeight="1" x14ac:dyDescent="0.25">
      <c r="B3726" s="3" t="s">
        <v>97</v>
      </c>
    </row>
    <row r="3727" spans="1:6" ht="7.95" customHeight="1" x14ac:dyDescent="0.2"/>
    <row r="3728" spans="1:6" ht="12" customHeight="1" x14ac:dyDescent="0.25">
      <c r="B3728" s="41" t="s">
        <v>100</v>
      </c>
      <c r="C3728" s="41"/>
      <c r="D3728" s="41"/>
      <c r="E3728" s="41"/>
    </row>
    <row r="3729" spans="1:5" ht="10.95" customHeight="1" x14ac:dyDescent="0.2"/>
    <row r="3730" spans="1:5" ht="10.95" customHeight="1" x14ac:dyDescent="0.2"/>
    <row r="3731" spans="1:5" ht="10.95" customHeight="1" x14ac:dyDescent="0.2"/>
    <row r="3732" spans="1:5" ht="16.2" customHeight="1" x14ac:dyDescent="0.2">
      <c r="A3732" s="39" t="s">
        <v>0</v>
      </c>
      <c r="B3732" s="39"/>
      <c r="C3732" s="39"/>
      <c r="D3732" s="39"/>
      <c r="E3732" s="39"/>
    </row>
    <row r="3733" spans="1:5" ht="10.95" customHeight="1" x14ac:dyDescent="0.2">
      <c r="A3733" s="40" t="s">
        <v>1</v>
      </c>
      <c r="B3733" s="40"/>
      <c r="C3733" s="40"/>
      <c r="D3733" s="40"/>
      <c r="E3733" s="40"/>
    </row>
    <row r="3734" spans="1:5" ht="13.2" customHeight="1" x14ac:dyDescent="0.2">
      <c r="A3734" s="40" t="s">
        <v>198</v>
      </c>
      <c r="B3734" s="40"/>
      <c r="C3734" s="40"/>
      <c r="D3734" s="40"/>
      <c r="E3734" s="40"/>
    </row>
    <row r="3735" spans="1:5" ht="10.95" customHeight="1" x14ac:dyDescent="0.2"/>
    <row r="3736" spans="1:5" ht="10.95" customHeight="1" x14ac:dyDescent="0.2">
      <c r="C3736" s="42" t="s">
        <v>3</v>
      </c>
      <c r="D3736" s="42"/>
      <c r="E3736" s="42"/>
    </row>
    <row r="3737" spans="1:5" ht="12" customHeight="1" x14ac:dyDescent="0.2">
      <c r="D3737" s="26" t="s">
        <v>4</v>
      </c>
      <c r="E3737" s="24">
        <v>12589.9</v>
      </c>
    </row>
    <row r="3738" spans="1:5" ht="12" customHeight="1" x14ac:dyDescent="0.2">
      <c r="D3738" s="26" t="s">
        <v>5</v>
      </c>
      <c r="E3738" s="23">
        <v>0</v>
      </c>
    </row>
    <row r="3739" spans="1:5" ht="12" customHeight="1" x14ac:dyDescent="0.2">
      <c r="D3739" s="26" t="s">
        <v>6</v>
      </c>
      <c r="E3739" s="30">
        <v>7</v>
      </c>
    </row>
    <row r="3740" spans="1:5" ht="12" customHeight="1" x14ac:dyDescent="0.2">
      <c r="D3740" s="26" t="s">
        <v>7</v>
      </c>
      <c r="E3740" s="30">
        <v>9</v>
      </c>
    </row>
    <row r="3741" spans="1:5" ht="12" customHeight="1" x14ac:dyDescent="0.2">
      <c r="D3741" s="26" t="s">
        <v>8</v>
      </c>
      <c r="E3741" s="30">
        <v>251</v>
      </c>
    </row>
    <row r="3742" spans="1:5" ht="12" customHeight="1" x14ac:dyDescent="0.2">
      <c r="D3742" s="26" t="s">
        <v>9</v>
      </c>
      <c r="E3742" s="30">
        <v>606</v>
      </c>
    </row>
    <row r="3743" spans="1:5" ht="12" customHeight="1" x14ac:dyDescent="0.2">
      <c r="D3743" s="26" t="s">
        <v>10</v>
      </c>
      <c r="E3743" s="30">
        <v>7</v>
      </c>
    </row>
    <row r="3744" spans="1:5" ht="12" customHeight="1" x14ac:dyDescent="0.2">
      <c r="D3744" s="26" t="s">
        <v>11</v>
      </c>
      <c r="E3744" s="30">
        <v>0</v>
      </c>
    </row>
    <row r="3745" spans="1:6" ht="12" customHeight="1" x14ac:dyDescent="0.2">
      <c r="D3745" s="26" t="s">
        <v>12</v>
      </c>
      <c r="E3745" s="30">
        <v>0</v>
      </c>
    </row>
    <row r="3746" spans="1:6" ht="12" customHeight="1" x14ac:dyDescent="0.2">
      <c r="D3746" s="26" t="s">
        <v>13</v>
      </c>
      <c r="E3746" s="30">
        <v>1494</v>
      </c>
    </row>
    <row r="3747" spans="1:6" ht="12" customHeight="1" x14ac:dyDescent="0.25">
      <c r="A3747" s="2" t="s">
        <v>14</v>
      </c>
      <c r="B3747" s="3" t="s">
        <v>174</v>
      </c>
    </row>
    <row r="3748" spans="1:6" ht="10.95" customHeight="1" x14ac:dyDescent="0.2"/>
    <row r="3749" spans="1:6" ht="45" customHeight="1" x14ac:dyDescent="0.2">
      <c r="A3749" s="4" t="s">
        <v>15</v>
      </c>
      <c r="B3749" s="4" t="s">
        <v>131</v>
      </c>
      <c r="C3749" s="27" t="s">
        <v>17</v>
      </c>
      <c r="D3749" s="27" t="s">
        <v>103</v>
      </c>
      <c r="E3749" s="27" t="s">
        <v>19</v>
      </c>
    </row>
    <row r="3750" spans="1:6" ht="31.5" customHeight="1" x14ac:dyDescent="0.2">
      <c r="A3750" s="5">
        <v>1</v>
      </c>
      <c r="B3750" s="6" t="s">
        <v>190</v>
      </c>
      <c r="C3750" s="16"/>
      <c r="D3750" s="16"/>
      <c r="E3750" s="17">
        <f>E3751+E3758</f>
        <v>2312352.784</v>
      </c>
    </row>
    <row r="3751" spans="1:6" ht="15" customHeight="1" x14ac:dyDescent="0.2">
      <c r="A3751" s="7" t="s">
        <v>21</v>
      </c>
      <c r="B3751" s="6" t="s">
        <v>132</v>
      </c>
      <c r="C3751" s="16"/>
      <c r="D3751" s="16"/>
      <c r="E3751" s="17">
        <f>SUM(E3752:E3757)</f>
        <v>988990.93400000001</v>
      </c>
    </row>
    <row r="3752" spans="1:6" ht="11.25" customHeight="1" x14ac:dyDescent="0.2">
      <c r="A3752" s="15" t="s">
        <v>23</v>
      </c>
      <c r="B3752" s="9" t="s">
        <v>34</v>
      </c>
      <c r="C3752" s="16">
        <v>1.71</v>
      </c>
      <c r="D3752" s="16">
        <v>18781</v>
      </c>
      <c r="E3752" s="19">
        <f>ROUND(C3752*D3752,2)*12</f>
        <v>385386.12</v>
      </c>
      <c r="F3752" s="20"/>
    </row>
    <row r="3753" spans="1:6" ht="11.25" customHeight="1" x14ac:dyDescent="0.2">
      <c r="A3753" s="8" t="s">
        <v>31</v>
      </c>
      <c r="B3753" s="9" t="s">
        <v>36</v>
      </c>
      <c r="C3753" s="16">
        <v>1.42</v>
      </c>
      <c r="D3753" s="16">
        <v>18781</v>
      </c>
      <c r="E3753" s="19">
        <f>ROUND(C3753*D3753,2)*12</f>
        <v>320028.24</v>
      </c>
    </row>
    <row r="3754" spans="1:6" ht="11.25" customHeight="1" x14ac:dyDescent="0.2">
      <c r="A3754" s="8" t="s">
        <v>121</v>
      </c>
      <c r="B3754" s="9" t="s">
        <v>38</v>
      </c>
      <c r="C3754" s="16">
        <v>30.2</v>
      </c>
      <c r="D3754" s="16">
        <f>E3752</f>
        <v>385386.12</v>
      </c>
      <c r="E3754" s="19">
        <f>ROUND(C3754*D3754/100,2)</f>
        <v>116386.61</v>
      </c>
    </row>
    <row r="3755" spans="1:6" ht="11.25" customHeight="1" x14ac:dyDescent="0.2">
      <c r="A3755" s="8" t="s">
        <v>186</v>
      </c>
      <c r="B3755" s="9" t="s">
        <v>40</v>
      </c>
      <c r="C3755" s="16">
        <v>30.2</v>
      </c>
      <c r="D3755" s="16">
        <f>E3753</f>
        <v>320028.24</v>
      </c>
      <c r="E3755" s="19">
        <f>ROUND(C3755*D3755/100,2)</f>
        <v>96648.53</v>
      </c>
    </row>
    <row r="3756" spans="1:6" ht="11.25" customHeight="1" x14ac:dyDescent="0.2">
      <c r="A3756" s="8" t="s">
        <v>187</v>
      </c>
      <c r="B3756" s="9" t="s">
        <v>42</v>
      </c>
      <c r="C3756" s="16"/>
      <c r="D3756" s="16"/>
      <c r="E3756" s="19">
        <f>ROUND(E3752*0.1,2)</f>
        <v>38538.61</v>
      </c>
    </row>
    <row r="3757" spans="1:6" ht="11.25" customHeight="1" x14ac:dyDescent="0.2">
      <c r="A3757" s="8" t="s">
        <v>188</v>
      </c>
      <c r="B3757" s="9" t="s">
        <v>44</v>
      </c>
      <c r="C3757" s="16"/>
      <c r="D3757" s="16"/>
      <c r="E3757" s="19">
        <f>E3753*0.1</f>
        <v>32002.824000000001</v>
      </c>
    </row>
    <row r="3758" spans="1:6" ht="15" customHeight="1" x14ac:dyDescent="0.2">
      <c r="A3758" s="7" t="s">
        <v>45</v>
      </c>
      <c r="B3758" s="6" t="s">
        <v>189</v>
      </c>
      <c r="C3758" s="16"/>
      <c r="D3758" s="16"/>
      <c r="E3758" s="17">
        <f>E3759+E3760+E3761+E3762</f>
        <v>1323361.8499999999</v>
      </c>
    </row>
    <row r="3759" spans="1:6" ht="11.25" customHeight="1" x14ac:dyDescent="0.2">
      <c r="A3759" s="8" t="s">
        <v>47</v>
      </c>
      <c r="B3759" s="9" t="s">
        <v>48</v>
      </c>
      <c r="C3759" s="16">
        <v>3.45</v>
      </c>
      <c r="D3759" s="16">
        <v>18781</v>
      </c>
      <c r="E3759" s="19">
        <f>ROUND(C3759*D3759,2)*12</f>
        <v>777533.39999999991</v>
      </c>
      <c r="F3759" s="20"/>
    </row>
    <row r="3760" spans="1:6" ht="11.25" customHeight="1" x14ac:dyDescent="0.2">
      <c r="A3760" s="8" t="s">
        <v>49</v>
      </c>
      <c r="B3760" s="9" t="s">
        <v>50</v>
      </c>
      <c r="C3760" s="16">
        <v>30.2</v>
      </c>
      <c r="D3760" s="16">
        <f>E3759</f>
        <v>777533.39999999991</v>
      </c>
      <c r="E3760" s="19">
        <f>ROUND(C3760*D3760/100,2)</f>
        <v>234815.09</v>
      </c>
    </row>
    <row r="3761" spans="1:6" ht="11.25" customHeight="1" x14ac:dyDescent="0.2">
      <c r="A3761" s="8" t="s">
        <v>51</v>
      </c>
      <c r="B3761" s="9" t="s">
        <v>52</v>
      </c>
      <c r="C3761" s="16"/>
      <c r="D3761" s="16"/>
      <c r="E3761" s="19">
        <f>E3759*0.3</f>
        <v>233260.01999999996</v>
      </c>
    </row>
    <row r="3762" spans="1:6" ht="11.25" customHeight="1" x14ac:dyDescent="0.2">
      <c r="A3762" s="8" t="s">
        <v>53</v>
      </c>
      <c r="B3762" s="9" t="s">
        <v>54</v>
      </c>
      <c r="C3762" s="16"/>
      <c r="D3762" s="16"/>
      <c r="E3762" s="19">
        <f>E3759*0.1</f>
        <v>77753.34</v>
      </c>
    </row>
    <row r="3763" spans="1:6" ht="20.100000000000001" customHeight="1" x14ac:dyDescent="0.2">
      <c r="A3763" s="5">
        <v>2</v>
      </c>
      <c r="B3763" s="6" t="s">
        <v>57</v>
      </c>
      <c r="C3763" s="16"/>
      <c r="D3763" s="16"/>
      <c r="E3763" s="17">
        <f>E3764+E3766+E3767+E3768+E3769+E3770+E3765</f>
        <v>1071665.49</v>
      </c>
    </row>
    <row r="3764" spans="1:6" ht="11.25" customHeight="1" x14ac:dyDescent="0.2">
      <c r="A3764" s="35" t="s">
        <v>58</v>
      </c>
      <c r="B3764" s="9" t="s">
        <v>204</v>
      </c>
      <c r="C3764" s="16">
        <v>878.7</v>
      </c>
      <c r="D3764" s="16">
        <f>E3764/C3764</f>
        <v>177.97000113804481</v>
      </c>
      <c r="E3764" s="19">
        <v>156382.24</v>
      </c>
    </row>
    <row r="3765" spans="1:6" ht="11.25" customHeight="1" x14ac:dyDescent="0.2">
      <c r="A3765" s="35" t="s">
        <v>60</v>
      </c>
      <c r="B3765" s="9" t="s">
        <v>195</v>
      </c>
      <c r="C3765" s="16">
        <v>878.7</v>
      </c>
      <c r="D3765" s="16">
        <f>E3765/C3765</f>
        <v>219.63343575736883</v>
      </c>
      <c r="E3765" s="19">
        <v>192991.9</v>
      </c>
    </row>
    <row r="3766" spans="1:6" ht="11.25" customHeight="1" x14ac:dyDescent="0.2">
      <c r="A3766" s="35" t="s">
        <v>62</v>
      </c>
      <c r="B3766" s="9" t="s">
        <v>196</v>
      </c>
      <c r="C3766" s="16">
        <v>278.76</v>
      </c>
      <c r="D3766" s="16">
        <f>E3766/C3766</f>
        <v>848.4012412110776</v>
      </c>
      <c r="E3766" s="19">
        <v>236500.33</v>
      </c>
    </row>
    <row r="3767" spans="1:6" ht="11.25" customHeight="1" x14ac:dyDescent="0.2">
      <c r="A3767" s="35" t="s">
        <v>64</v>
      </c>
      <c r="B3767" s="9" t="s">
        <v>63</v>
      </c>
      <c r="C3767" s="16">
        <f>E3767/D3767</f>
        <v>52514.979890310788</v>
      </c>
      <c r="D3767" s="16">
        <v>5.47</v>
      </c>
      <c r="E3767" s="19">
        <f>273500+13756.94</f>
        <v>287256.94</v>
      </c>
      <c r="F3767" s="20"/>
    </row>
    <row r="3768" spans="1:6" ht="11.25" customHeight="1" x14ac:dyDescent="0.2">
      <c r="A3768" s="35" t="s">
        <v>66</v>
      </c>
      <c r="B3768" s="9" t="s">
        <v>65</v>
      </c>
      <c r="C3768" s="16">
        <f>E3768/D3768</f>
        <v>2360.7521656144477</v>
      </c>
      <c r="D3768" s="16">
        <v>68.11</v>
      </c>
      <c r="E3768" s="19">
        <f>136523.35+24267.48</f>
        <v>160790.83000000002</v>
      </c>
    </row>
    <row r="3769" spans="1:6" ht="11.25" customHeight="1" x14ac:dyDescent="0.2">
      <c r="A3769" s="35" t="s">
        <v>68</v>
      </c>
      <c r="B3769" s="9" t="s">
        <v>69</v>
      </c>
      <c r="C3769" s="16">
        <v>1966.3</v>
      </c>
      <c r="D3769" s="16">
        <f>E3769/C3769</f>
        <v>3.3499974571530289</v>
      </c>
      <c r="E3769" s="19">
        <v>6587.1</v>
      </c>
    </row>
    <row r="3770" spans="1:6" ht="11.25" customHeight="1" x14ac:dyDescent="0.2">
      <c r="A3770" s="35" t="s">
        <v>70</v>
      </c>
      <c r="B3770" s="9" t="s">
        <v>71</v>
      </c>
      <c r="C3770" s="16">
        <v>165.69</v>
      </c>
      <c r="D3770" s="16">
        <f>E3770/C3770</f>
        <v>188.03880741143101</v>
      </c>
      <c r="E3770" s="19">
        <v>31156.15</v>
      </c>
    </row>
    <row r="3771" spans="1:6" ht="20.100000000000001" customHeight="1" x14ac:dyDescent="0.2">
      <c r="A3771" s="5">
        <v>3</v>
      </c>
      <c r="B3771" s="6" t="s">
        <v>72</v>
      </c>
      <c r="C3771" s="16"/>
      <c r="D3771" s="16"/>
      <c r="E3771" s="17">
        <f>E3772+E3773+E3774+E3775+E3776+E3777+E3778+E3779+E3780+E3782+E3781</f>
        <v>604462.0495813993</v>
      </c>
    </row>
    <row r="3772" spans="1:6" ht="11.25" customHeight="1" x14ac:dyDescent="0.2">
      <c r="A3772" s="8" t="s">
        <v>73</v>
      </c>
      <c r="B3772" s="9" t="s">
        <v>74</v>
      </c>
      <c r="C3772" s="34">
        <v>7</v>
      </c>
      <c r="D3772" s="16">
        <f>E3772/C3772/12</f>
        <v>4068</v>
      </c>
      <c r="E3772" s="19">
        <v>341712</v>
      </c>
    </row>
    <row r="3773" spans="1:6" ht="11.25" customHeight="1" x14ac:dyDescent="0.2">
      <c r="A3773" s="8" t="s">
        <v>75</v>
      </c>
      <c r="B3773" s="9" t="s">
        <v>76</v>
      </c>
      <c r="C3773" s="16"/>
      <c r="D3773" s="16"/>
      <c r="E3773" s="19">
        <v>0</v>
      </c>
    </row>
    <row r="3774" spans="1:6" ht="11.25" customHeight="1" x14ac:dyDescent="0.2">
      <c r="A3774" s="8" t="s">
        <v>77</v>
      </c>
      <c r="B3774" s="9" t="s">
        <v>78</v>
      </c>
      <c r="C3774" s="16"/>
      <c r="D3774" s="16"/>
      <c r="E3774" s="19">
        <v>0</v>
      </c>
    </row>
    <row r="3775" spans="1:6" ht="11.25" customHeight="1" x14ac:dyDescent="0.2">
      <c r="A3775" s="8" t="s">
        <v>79</v>
      </c>
      <c r="B3775" s="9" t="s">
        <v>80</v>
      </c>
      <c r="C3775" s="16">
        <v>12589.9</v>
      </c>
      <c r="D3775" s="16">
        <f>E3775/C3775</f>
        <v>4.1500695001548857</v>
      </c>
      <c r="E3775" s="19">
        <v>52248.959999999999</v>
      </c>
    </row>
    <row r="3776" spans="1:6" ht="11.25" customHeight="1" x14ac:dyDescent="0.2">
      <c r="A3776" s="8" t="s">
        <v>81</v>
      </c>
      <c r="B3776" s="9" t="s">
        <v>82</v>
      </c>
      <c r="C3776" s="34">
        <v>502</v>
      </c>
      <c r="D3776" s="16">
        <f>E3776/C3776</f>
        <v>71.702729083665332</v>
      </c>
      <c r="E3776" s="19">
        <v>35994.769999999997</v>
      </c>
    </row>
    <row r="3777" spans="1:6" ht="11.25" customHeight="1" x14ac:dyDescent="0.2">
      <c r="A3777" s="8" t="s">
        <v>83</v>
      </c>
      <c r="B3777" s="9" t="s">
        <v>194</v>
      </c>
      <c r="C3777" s="34">
        <v>251</v>
      </c>
      <c r="D3777" s="16">
        <f>E3777/C3777</f>
        <v>85.004701195219127</v>
      </c>
      <c r="E3777" s="19">
        <v>21336.18</v>
      </c>
    </row>
    <row r="3778" spans="1:6" ht="11.25" customHeight="1" x14ac:dyDescent="0.2">
      <c r="A3778" s="8" t="s">
        <v>85</v>
      </c>
      <c r="B3778" s="9" t="s">
        <v>86</v>
      </c>
      <c r="C3778" s="34"/>
      <c r="D3778" s="16"/>
      <c r="E3778" s="19">
        <v>0</v>
      </c>
    </row>
    <row r="3779" spans="1:6" ht="11.25" customHeight="1" x14ac:dyDescent="0.2">
      <c r="A3779" s="8" t="s">
        <v>87</v>
      </c>
      <c r="B3779" s="9" t="s">
        <v>88</v>
      </c>
      <c r="C3779" s="34">
        <v>250</v>
      </c>
      <c r="D3779" s="16">
        <f>E3779/C3779</f>
        <v>535.13371999999993</v>
      </c>
      <c r="E3779" s="19">
        <v>133783.43</v>
      </c>
    </row>
    <row r="3780" spans="1:6" ht="11.25" customHeight="1" x14ac:dyDescent="0.2">
      <c r="A3780" s="8" t="s">
        <v>89</v>
      </c>
      <c r="B3780" s="9" t="s">
        <v>90</v>
      </c>
      <c r="C3780" s="16"/>
      <c r="D3780" s="16"/>
      <c r="E3780" s="19">
        <v>0</v>
      </c>
    </row>
    <row r="3781" spans="1:6" ht="11.25" customHeight="1" x14ac:dyDescent="0.2">
      <c r="A3781" s="8" t="s">
        <v>91</v>
      </c>
      <c r="B3781" s="9" t="s">
        <v>202</v>
      </c>
      <c r="C3781" s="34">
        <v>7</v>
      </c>
      <c r="D3781" s="16">
        <f>E3781/C3781</f>
        <v>2769.5299401998959</v>
      </c>
      <c r="E3781" s="19">
        <f>2826.16*7*1.2*0.81663515754</f>
        <v>19386.709581399271</v>
      </c>
    </row>
    <row r="3782" spans="1:6" ht="11.25" customHeight="1" x14ac:dyDescent="0.2">
      <c r="A3782" s="8" t="s">
        <v>203</v>
      </c>
      <c r="B3782" s="9" t="s">
        <v>92</v>
      </c>
      <c r="C3782" s="16"/>
      <c r="D3782" s="16"/>
      <c r="E3782" s="19">
        <v>0</v>
      </c>
    </row>
    <row r="3783" spans="1:6" ht="15" customHeight="1" x14ac:dyDescent="0.2">
      <c r="A3783" s="5">
        <v>4</v>
      </c>
      <c r="B3783" s="6" t="s">
        <v>193</v>
      </c>
      <c r="C3783" s="16"/>
      <c r="D3783" s="16"/>
      <c r="E3783" s="17">
        <f>ROUND(F3784/1.1*0.1,2)</f>
        <v>398848.03</v>
      </c>
    </row>
    <row r="3784" spans="1:6" ht="18.75" customHeight="1" x14ac:dyDescent="0.2">
      <c r="A3784" s="10"/>
      <c r="B3784" s="11" t="s">
        <v>94</v>
      </c>
      <c r="C3784" s="21"/>
      <c r="D3784" s="21"/>
      <c r="E3784" s="17">
        <f>E3750+E3763+E3771+E3783</f>
        <v>4387328.3535813997</v>
      </c>
      <c r="F3784" s="25">
        <f>E3737*29.04*12</f>
        <v>4387328.352</v>
      </c>
    </row>
    <row r="3785" spans="1:6" ht="15" customHeight="1" x14ac:dyDescent="0.25">
      <c r="A3785" s="10"/>
      <c r="B3785" s="11" t="s">
        <v>199</v>
      </c>
      <c r="C3785" s="21"/>
      <c r="D3785" s="21"/>
      <c r="E3785" s="22">
        <v>29.04</v>
      </c>
    </row>
    <row r="3786" spans="1:6" ht="10.95" customHeight="1" x14ac:dyDescent="0.2"/>
    <row r="3787" spans="1:6" ht="10.95" customHeight="1" x14ac:dyDescent="0.2"/>
    <row r="3788" spans="1:6" ht="10.95" customHeight="1" x14ac:dyDescent="0.2"/>
    <row r="3789" spans="1:6" ht="15" customHeight="1" x14ac:dyDescent="0.25">
      <c r="B3789" s="12" t="s">
        <v>96</v>
      </c>
    </row>
    <row r="3790" spans="1:6" ht="12" customHeight="1" x14ac:dyDescent="0.2"/>
    <row r="3791" spans="1:6" ht="13.2" customHeight="1" x14ac:dyDescent="0.25">
      <c r="B3791" s="3" t="s">
        <v>97</v>
      </c>
    </row>
    <row r="3792" spans="1:6" ht="7.95" customHeight="1" x14ac:dyDescent="0.2"/>
    <row r="3793" spans="1:5" ht="12" customHeight="1" x14ac:dyDescent="0.25">
      <c r="B3793" s="41" t="s">
        <v>100</v>
      </c>
      <c r="C3793" s="41"/>
      <c r="D3793" s="41"/>
      <c r="E3793" s="41"/>
    </row>
    <row r="3794" spans="1:5" ht="10.95" customHeight="1" x14ac:dyDescent="0.2"/>
    <row r="3795" spans="1:5" ht="10.95" customHeight="1" x14ac:dyDescent="0.2"/>
    <row r="3796" spans="1:5" ht="10.95" customHeight="1" x14ac:dyDescent="0.2"/>
    <row r="3797" spans="1:5" ht="16.2" customHeight="1" x14ac:dyDescent="0.2">
      <c r="A3797" s="39" t="s">
        <v>0</v>
      </c>
      <c r="B3797" s="39"/>
      <c r="C3797" s="39"/>
      <c r="D3797" s="39"/>
      <c r="E3797" s="39"/>
    </row>
    <row r="3798" spans="1:5" ht="10.95" customHeight="1" x14ac:dyDescent="0.2">
      <c r="A3798" s="40" t="s">
        <v>1</v>
      </c>
      <c r="B3798" s="40"/>
      <c r="C3798" s="40"/>
      <c r="D3798" s="40"/>
      <c r="E3798" s="40"/>
    </row>
    <row r="3799" spans="1:5" ht="13.2" customHeight="1" x14ac:dyDescent="0.2">
      <c r="A3799" s="40" t="s">
        <v>198</v>
      </c>
      <c r="B3799" s="40"/>
      <c r="C3799" s="40"/>
      <c r="D3799" s="40"/>
      <c r="E3799" s="40"/>
    </row>
    <row r="3800" spans="1:5" ht="10.95" customHeight="1" x14ac:dyDescent="0.2"/>
    <row r="3801" spans="1:5" ht="10.95" customHeight="1" x14ac:dyDescent="0.2">
      <c r="C3801" s="42" t="s">
        <v>3</v>
      </c>
      <c r="D3801" s="42"/>
      <c r="E3801" s="42"/>
    </row>
    <row r="3802" spans="1:5" ht="12" customHeight="1" x14ac:dyDescent="0.2">
      <c r="D3802" s="26" t="s">
        <v>4</v>
      </c>
      <c r="E3802" s="24">
        <v>4256.8999999999996</v>
      </c>
    </row>
    <row r="3803" spans="1:5" ht="12" customHeight="1" x14ac:dyDescent="0.2">
      <c r="D3803" s="26" t="s">
        <v>5</v>
      </c>
      <c r="E3803" s="23">
        <v>0</v>
      </c>
    </row>
    <row r="3804" spans="1:5" ht="12" customHeight="1" x14ac:dyDescent="0.2">
      <c r="D3804" s="26" t="s">
        <v>6</v>
      </c>
      <c r="E3804" s="30">
        <v>1</v>
      </c>
    </row>
    <row r="3805" spans="1:5" ht="12" customHeight="1" x14ac:dyDescent="0.2">
      <c r="D3805" s="26" t="s">
        <v>7</v>
      </c>
      <c r="E3805" s="30">
        <v>14</v>
      </c>
    </row>
    <row r="3806" spans="1:5" ht="12" customHeight="1" x14ac:dyDescent="0.2">
      <c r="D3806" s="26" t="s">
        <v>8</v>
      </c>
      <c r="E3806" s="30">
        <v>98</v>
      </c>
    </row>
    <row r="3807" spans="1:5" ht="12" customHeight="1" x14ac:dyDescent="0.2">
      <c r="D3807" s="26" t="s">
        <v>9</v>
      </c>
      <c r="E3807" s="30">
        <v>167</v>
      </c>
    </row>
    <row r="3808" spans="1:5" ht="12" customHeight="1" x14ac:dyDescent="0.2">
      <c r="D3808" s="26" t="s">
        <v>10</v>
      </c>
      <c r="E3808" s="30">
        <v>2</v>
      </c>
    </row>
    <row r="3809" spans="1:6" ht="12" customHeight="1" x14ac:dyDescent="0.2">
      <c r="D3809" s="26" t="s">
        <v>11</v>
      </c>
      <c r="E3809" s="30">
        <v>1</v>
      </c>
    </row>
    <row r="3810" spans="1:6" ht="12" customHeight="1" x14ac:dyDescent="0.2">
      <c r="D3810" s="26" t="s">
        <v>12</v>
      </c>
      <c r="E3810" s="30">
        <v>0</v>
      </c>
    </row>
    <row r="3811" spans="1:6" ht="12" customHeight="1" x14ac:dyDescent="0.2">
      <c r="D3811" s="26" t="s">
        <v>13</v>
      </c>
      <c r="E3811" s="30">
        <v>580</v>
      </c>
    </row>
    <row r="3812" spans="1:6" ht="12" customHeight="1" x14ac:dyDescent="0.25">
      <c r="A3812" s="2" t="s">
        <v>14</v>
      </c>
      <c r="B3812" s="3" t="s">
        <v>175</v>
      </c>
    </row>
    <row r="3813" spans="1:6" ht="10.95" customHeight="1" x14ac:dyDescent="0.2"/>
    <row r="3814" spans="1:6" ht="45" customHeight="1" x14ac:dyDescent="0.2">
      <c r="A3814" s="4" t="s">
        <v>15</v>
      </c>
      <c r="B3814" s="4" t="s">
        <v>131</v>
      </c>
      <c r="C3814" s="27" t="s">
        <v>17</v>
      </c>
      <c r="D3814" s="27" t="s">
        <v>103</v>
      </c>
      <c r="E3814" s="27" t="s">
        <v>19</v>
      </c>
    </row>
    <row r="3815" spans="1:6" ht="31.5" customHeight="1" x14ac:dyDescent="0.2">
      <c r="A3815" s="5">
        <v>1</v>
      </c>
      <c r="B3815" s="6" t="s">
        <v>190</v>
      </c>
      <c r="C3815" s="16"/>
      <c r="D3815" s="16"/>
      <c r="E3815" s="17">
        <f>E3816+E3823</f>
        <v>805082.87600000005</v>
      </c>
    </row>
    <row r="3816" spans="1:6" ht="15" customHeight="1" x14ac:dyDescent="0.2">
      <c r="A3816" s="7" t="s">
        <v>21</v>
      </c>
      <c r="B3816" s="6" t="s">
        <v>132</v>
      </c>
      <c r="C3816" s="16"/>
      <c r="D3816" s="16"/>
      <c r="E3816" s="17">
        <f>SUM(E3817:E3822)</f>
        <v>290693.826</v>
      </c>
    </row>
    <row r="3817" spans="1:6" ht="11.25" customHeight="1" x14ac:dyDescent="0.2">
      <c r="A3817" s="15" t="s">
        <v>23</v>
      </c>
      <c r="B3817" s="9" t="s">
        <v>34</v>
      </c>
      <c r="C3817" s="16">
        <v>0.54</v>
      </c>
      <c r="D3817" s="16">
        <v>18781</v>
      </c>
      <c r="E3817" s="19">
        <f>ROUND(C3817*D3817,2)*12</f>
        <v>121700.88</v>
      </c>
      <c r="F3817" s="20"/>
    </row>
    <row r="3818" spans="1:6" ht="11.25" customHeight="1" x14ac:dyDescent="0.2">
      <c r="A3818" s="8" t="s">
        <v>31</v>
      </c>
      <c r="B3818" s="9" t="s">
        <v>36</v>
      </c>
      <c r="C3818" s="16">
        <v>0.38</v>
      </c>
      <c r="D3818" s="16">
        <v>18781</v>
      </c>
      <c r="E3818" s="19">
        <f>ROUND(C3818*D3818,2)*12</f>
        <v>85641.36</v>
      </c>
    </row>
    <row r="3819" spans="1:6" ht="11.25" customHeight="1" x14ac:dyDescent="0.2">
      <c r="A3819" s="8" t="s">
        <v>121</v>
      </c>
      <c r="B3819" s="9" t="s">
        <v>38</v>
      </c>
      <c r="C3819" s="16">
        <v>30.2</v>
      </c>
      <c r="D3819" s="16">
        <f>E3817</f>
        <v>121700.88</v>
      </c>
      <c r="E3819" s="19">
        <f>ROUND(C3819*D3819/100,2)</f>
        <v>36753.67</v>
      </c>
    </row>
    <row r="3820" spans="1:6" ht="11.25" customHeight="1" x14ac:dyDescent="0.2">
      <c r="A3820" s="8" t="s">
        <v>186</v>
      </c>
      <c r="B3820" s="9" t="s">
        <v>40</v>
      </c>
      <c r="C3820" s="16">
        <v>30.2</v>
      </c>
      <c r="D3820" s="16">
        <f>E3818</f>
        <v>85641.36</v>
      </c>
      <c r="E3820" s="19">
        <f>ROUND(C3820*D3820/100,2)</f>
        <v>25863.69</v>
      </c>
    </row>
    <row r="3821" spans="1:6" ht="11.25" customHeight="1" x14ac:dyDescent="0.2">
      <c r="A3821" s="8" t="s">
        <v>187</v>
      </c>
      <c r="B3821" s="9" t="s">
        <v>42</v>
      </c>
      <c r="C3821" s="16"/>
      <c r="D3821" s="16"/>
      <c r="E3821" s="19">
        <f>ROUND(E3817*0.1,2)</f>
        <v>12170.09</v>
      </c>
    </row>
    <row r="3822" spans="1:6" ht="11.25" customHeight="1" x14ac:dyDescent="0.2">
      <c r="A3822" s="8" t="s">
        <v>188</v>
      </c>
      <c r="B3822" s="9" t="s">
        <v>44</v>
      </c>
      <c r="C3822" s="16"/>
      <c r="D3822" s="16"/>
      <c r="E3822" s="19">
        <f>E3818*0.1</f>
        <v>8564.1360000000004</v>
      </c>
    </row>
    <row r="3823" spans="1:6" ht="15" customHeight="1" x14ac:dyDescent="0.2">
      <c r="A3823" s="7" t="s">
        <v>45</v>
      </c>
      <c r="B3823" s="6" t="s">
        <v>189</v>
      </c>
      <c r="C3823" s="16"/>
      <c r="D3823" s="16"/>
      <c r="E3823" s="17">
        <f>E3824+E3825+E3826+E3827</f>
        <v>514389.05000000005</v>
      </c>
    </row>
    <row r="3824" spans="1:6" ht="11.25" customHeight="1" x14ac:dyDescent="0.2">
      <c r="A3824" s="8" t="s">
        <v>47</v>
      </c>
      <c r="B3824" s="9" t="s">
        <v>48</v>
      </c>
      <c r="C3824" s="16">
        <v>1.2</v>
      </c>
      <c r="D3824" s="16">
        <v>18781</v>
      </c>
      <c r="E3824" s="19">
        <f>ROUND(C3824*D3824,2)*12</f>
        <v>270446.40000000002</v>
      </c>
      <c r="F3824" s="20"/>
    </row>
    <row r="3825" spans="1:6" ht="11.25" customHeight="1" x14ac:dyDescent="0.2">
      <c r="A3825" s="8" t="s">
        <v>49</v>
      </c>
      <c r="B3825" s="9" t="s">
        <v>50</v>
      </c>
      <c r="C3825" s="16">
        <v>30.2</v>
      </c>
      <c r="D3825" s="16">
        <f>E3824</f>
        <v>270446.40000000002</v>
      </c>
      <c r="E3825" s="19">
        <f>ROUND(C3825*D3825/100,2)</f>
        <v>81674.81</v>
      </c>
    </row>
    <row r="3826" spans="1:6" ht="11.25" customHeight="1" x14ac:dyDescent="0.2">
      <c r="A3826" s="8" t="s">
        <v>51</v>
      </c>
      <c r="B3826" s="9" t="s">
        <v>52</v>
      </c>
      <c r="C3826" s="16"/>
      <c r="D3826" s="16"/>
      <c r="E3826" s="19">
        <f>E3824*0.5</f>
        <v>135223.20000000001</v>
      </c>
    </row>
    <row r="3827" spans="1:6" ht="11.25" customHeight="1" x14ac:dyDescent="0.2">
      <c r="A3827" s="8" t="s">
        <v>53</v>
      </c>
      <c r="B3827" s="9" t="s">
        <v>54</v>
      </c>
      <c r="C3827" s="16"/>
      <c r="D3827" s="16"/>
      <c r="E3827" s="19">
        <f>E3824*0.1</f>
        <v>27044.640000000003</v>
      </c>
    </row>
    <row r="3828" spans="1:6" ht="20.100000000000001" customHeight="1" x14ac:dyDescent="0.2">
      <c r="A3828" s="5">
        <v>2</v>
      </c>
      <c r="B3828" s="6" t="s">
        <v>57</v>
      </c>
      <c r="C3828" s="16"/>
      <c r="D3828" s="16"/>
      <c r="E3828" s="17">
        <f>E3829+E3831+E3832+E3833+E3834+E3835+E3830</f>
        <v>305993.57999999996</v>
      </c>
    </row>
    <row r="3829" spans="1:6" ht="11.25" customHeight="1" x14ac:dyDescent="0.2">
      <c r="A3829" s="35" t="s">
        <v>58</v>
      </c>
      <c r="B3829" s="9" t="s">
        <v>204</v>
      </c>
      <c r="C3829" s="16">
        <v>242.15</v>
      </c>
      <c r="D3829" s="16">
        <f>E3829/C3829</f>
        <v>177.9700185835226</v>
      </c>
      <c r="E3829" s="19">
        <v>43095.44</v>
      </c>
    </row>
    <row r="3830" spans="1:6" ht="11.25" customHeight="1" x14ac:dyDescent="0.2">
      <c r="A3830" s="35" t="s">
        <v>60</v>
      </c>
      <c r="B3830" s="9" t="s">
        <v>195</v>
      </c>
      <c r="C3830" s="16">
        <v>242.15</v>
      </c>
      <c r="D3830" s="16">
        <f>E3830/C3830</f>
        <v>219.63345034069789</v>
      </c>
      <c r="E3830" s="19">
        <v>53184.24</v>
      </c>
    </row>
    <row r="3831" spans="1:6" ht="11.25" customHeight="1" x14ac:dyDescent="0.2">
      <c r="A3831" s="35" t="s">
        <v>62</v>
      </c>
      <c r="B3831" s="9" t="s">
        <v>196</v>
      </c>
      <c r="C3831" s="16">
        <v>76.819999999999993</v>
      </c>
      <c r="D3831" s="16">
        <f>E3831/C3831</f>
        <v>848.40119760479047</v>
      </c>
      <c r="E3831" s="19">
        <v>65174.18</v>
      </c>
    </row>
    <row r="3832" spans="1:6" ht="11.25" customHeight="1" x14ac:dyDescent="0.2">
      <c r="A3832" s="35" t="s">
        <v>64</v>
      </c>
      <c r="B3832" s="9" t="s">
        <v>63</v>
      </c>
      <c r="C3832" s="16">
        <f>E3832/D3832</f>
        <v>14745.895795246803</v>
      </c>
      <c r="D3832" s="16">
        <v>5.47</v>
      </c>
      <c r="E3832" s="19">
        <f>43760+30000+6900.05</f>
        <v>80660.05</v>
      </c>
      <c r="F3832" s="20"/>
    </row>
    <row r="3833" spans="1:6" ht="11.25" customHeight="1" x14ac:dyDescent="0.2">
      <c r="A3833" s="35" t="s">
        <v>66</v>
      </c>
      <c r="B3833" s="9" t="s">
        <v>65</v>
      </c>
      <c r="C3833" s="16">
        <f>E3833/D3833</f>
        <v>811.84099251211285</v>
      </c>
      <c r="D3833" s="16">
        <v>68.11</v>
      </c>
      <c r="E3833" s="19">
        <f>35559.48+19735.01</f>
        <v>55294.490000000005</v>
      </c>
      <c r="F3833" s="20"/>
    </row>
    <row r="3834" spans="1:6" ht="11.25" customHeight="1" x14ac:dyDescent="0.2">
      <c r="A3834" s="35" t="s">
        <v>68</v>
      </c>
      <c r="B3834" s="9" t="s">
        <v>69</v>
      </c>
      <c r="C3834" s="16">
        <v>496</v>
      </c>
      <c r="D3834" s="16">
        <f>E3834/C3834</f>
        <v>3.3499999999999996</v>
      </c>
      <c r="E3834" s="19">
        <v>1661.6</v>
      </c>
    </row>
    <row r="3835" spans="1:6" ht="11.25" customHeight="1" x14ac:dyDescent="0.2">
      <c r="A3835" s="35" t="s">
        <v>70</v>
      </c>
      <c r="B3835" s="9" t="s">
        <v>71</v>
      </c>
      <c r="C3835" s="16">
        <v>36.82</v>
      </c>
      <c r="D3835" s="16">
        <f>E3835/C3835</f>
        <v>188.03856599674089</v>
      </c>
      <c r="E3835" s="19">
        <v>6923.58</v>
      </c>
    </row>
    <row r="3836" spans="1:6" ht="20.100000000000001" customHeight="1" x14ac:dyDescent="0.2">
      <c r="A3836" s="5">
        <v>3</v>
      </c>
      <c r="B3836" s="6" t="s">
        <v>72</v>
      </c>
      <c r="C3836" s="16"/>
      <c r="D3836" s="16"/>
      <c r="E3836" s="17">
        <f>E3837+E3838+E3839+E3840+E3841+E3842+E3843+E3844+E3845+E3847+E3846</f>
        <v>237509.46988039973</v>
      </c>
    </row>
    <row r="3837" spans="1:6" ht="11.25" customHeight="1" x14ac:dyDescent="0.2">
      <c r="A3837" s="8" t="s">
        <v>73</v>
      </c>
      <c r="B3837" s="9" t="s">
        <v>74</v>
      </c>
      <c r="C3837" s="34">
        <v>2</v>
      </c>
      <c r="D3837" s="16">
        <f>E3837/C3837/12</f>
        <v>3872.3520833333332</v>
      </c>
      <c r="E3837" s="19">
        <v>92936.45</v>
      </c>
    </row>
    <row r="3838" spans="1:6" ht="11.25" customHeight="1" x14ac:dyDescent="0.2">
      <c r="A3838" s="8" t="s">
        <v>75</v>
      </c>
      <c r="B3838" s="9" t="s">
        <v>76</v>
      </c>
      <c r="C3838" s="16"/>
      <c r="D3838" s="16"/>
      <c r="E3838" s="19">
        <v>0</v>
      </c>
    </row>
    <row r="3839" spans="1:6" ht="11.25" customHeight="1" x14ac:dyDescent="0.2">
      <c r="A3839" s="8" t="s">
        <v>77</v>
      </c>
      <c r="B3839" s="9" t="s">
        <v>78</v>
      </c>
      <c r="C3839" s="34">
        <v>1</v>
      </c>
      <c r="D3839" s="16">
        <f>69242.82/12</f>
        <v>5770.2350000000006</v>
      </c>
      <c r="E3839" s="19">
        <v>52149.03</v>
      </c>
    </row>
    <row r="3840" spans="1:6" ht="11.25" customHeight="1" x14ac:dyDescent="0.2">
      <c r="A3840" s="8" t="s">
        <v>79</v>
      </c>
      <c r="B3840" s="9" t="s">
        <v>80</v>
      </c>
      <c r="C3840" s="16">
        <v>4256.8999999999996</v>
      </c>
      <c r="D3840" s="16">
        <f>E3840/C3840</f>
        <v>4.1500692992553274</v>
      </c>
      <c r="E3840" s="19">
        <v>17666.43</v>
      </c>
    </row>
    <row r="3841" spans="1:6" ht="11.25" customHeight="1" x14ac:dyDescent="0.2">
      <c r="A3841" s="8" t="s">
        <v>81</v>
      </c>
      <c r="B3841" s="9" t="s">
        <v>82</v>
      </c>
      <c r="C3841" s="34">
        <v>196</v>
      </c>
      <c r="D3841" s="16">
        <f>E3841/C3841</f>
        <v>68.324897959183673</v>
      </c>
      <c r="E3841" s="19">
        <v>13391.68</v>
      </c>
    </row>
    <row r="3842" spans="1:6" ht="11.25" customHeight="1" x14ac:dyDescent="0.2">
      <c r="A3842" s="8" t="s">
        <v>83</v>
      </c>
      <c r="B3842" s="9" t="s">
        <v>194</v>
      </c>
      <c r="C3842" s="34">
        <v>98</v>
      </c>
      <c r="D3842" s="16">
        <f>E3842/C3842</f>
        <v>86.993469387755113</v>
      </c>
      <c r="E3842" s="19">
        <v>8525.36</v>
      </c>
    </row>
    <row r="3843" spans="1:6" ht="11.25" customHeight="1" x14ac:dyDescent="0.2">
      <c r="A3843" s="8" t="s">
        <v>85</v>
      </c>
      <c r="B3843" s="9" t="s">
        <v>86</v>
      </c>
      <c r="C3843" s="34"/>
      <c r="D3843" s="16"/>
      <c r="E3843" s="19">
        <v>0</v>
      </c>
    </row>
    <row r="3844" spans="1:6" ht="11.25" customHeight="1" x14ac:dyDescent="0.2">
      <c r="A3844" s="8" t="s">
        <v>87</v>
      </c>
      <c r="B3844" s="9" t="s">
        <v>88</v>
      </c>
      <c r="C3844" s="34">
        <v>97</v>
      </c>
      <c r="D3844" s="16">
        <f>E3844/C3844</f>
        <v>487.64391752577319</v>
      </c>
      <c r="E3844" s="19">
        <v>47301.46</v>
      </c>
    </row>
    <row r="3845" spans="1:6" ht="11.25" customHeight="1" x14ac:dyDescent="0.2">
      <c r="A3845" s="8" t="s">
        <v>89</v>
      </c>
      <c r="B3845" s="9" t="s">
        <v>90</v>
      </c>
      <c r="C3845" s="16"/>
      <c r="D3845" s="16"/>
      <c r="E3845" s="19">
        <v>0</v>
      </c>
    </row>
    <row r="3846" spans="1:6" ht="11.25" customHeight="1" x14ac:dyDescent="0.2">
      <c r="A3846" s="8" t="s">
        <v>91</v>
      </c>
      <c r="B3846" s="9" t="s">
        <v>202</v>
      </c>
      <c r="C3846" s="34">
        <v>2</v>
      </c>
      <c r="D3846" s="16">
        <f>E3846/C3846</f>
        <v>2769.5299401998955</v>
      </c>
      <c r="E3846" s="19">
        <f>2826.16*2*1.2*0.81663515754</f>
        <v>5539.0598803997909</v>
      </c>
    </row>
    <row r="3847" spans="1:6" ht="11.25" customHeight="1" x14ac:dyDescent="0.2">
      <c r="A3847" s="8" t="s">
        <v>203</v>
      </c>
      <c r="B3847" s="9" t="s">
        <v>92</v>
      </c>
      <c r="C3847" s="16"/>
      <c r="D3847" s="16"/>
      <c r="E3847" s="19">
        <v>0</v>
      </c>
    </row>
    <row r="3848" spans="1:6" ht="15" customHeight="1" x14ac:dyDescent="0.2">
      <c r="A3848" s="5">
        <v>4</v>
      </c>
      <c r="B3848" s="6" t="s">
        <v>193</v>
      </c>
      <c r="C3848" s="16"/>
      <c r="D3848" s="16"/>
      <c r="E3848" s="17">
        <f>ROUND(F3849/1.1*0.1,2)</f>
        <v>134858.59</v>
      </c>
    </row>
    <row r="3849" spans="1:6" ht="18.75" customHeight="1" x14ac:dyDescent="0.2">
      <c r="A3849" s="10"/>
      <c r="B3849" s="11" t="s">
        <v>94</v>
      </c>
      <c r="C3849" s="21"/>
      <c r="D3849" s="21"/>
      <c r="E3849" s="17">
        <f>E3815+E3828+E3836+E3848</f>
        <v>1483444.5158803998</v>
      </c>
      <c r="F3849" s="25">
        <f>E3802*29.04*12</f>
        <v>1483444.5119999999</v>
      </c>
    </row>
    <row r="3850" spans="1:6" ht="15" customHeight="1" x14ac:dyDescent="0.25">
      <c r="A3850" s="10"/>
      <c r="B3850" s="11" t="s">
        <v>199</v>
      </c>
      <c r="C3850" s="21"/>
      <c r="D3850" s="21"/>
      <c r="E3850" s="22">
        <v>29.04</v>
      </c>
    </row>
    <row r="3851" spans="1:6" ht="10.95" customHeight="1" x14ac:dyDescent="0.2"/>
    <row r="3852" spans="1:6" ht="10.95" customHeight="1" x14ac:dyDescent="0.2"/>
    <row r="3853" spans="1:6" ht="10.95" customHeight="1" x14ac:dyDescent="0.2"/>
    <row r="3854" spans="1:6" ht="15" customHeight="1" x14ac:dyDescent="0.25">
      <c r="B3854" s="12" t="s">
        <v>96</v>
      </c>
    </row>
    <row r="3855" spans="1:6" ht="12" customHeight="1" x14ac:dyDescent="0.2"/>
    <row r="3856" spans="1:6" ht="13.2" customHeight="1" x14ac:dyDescent="0.25">
      <c r="B3856" s="3" t="s">
        <v>97</v>
      </c>
    </row>
    <row r="3857" spans="1:5" ht="7.95" customHeight="1" x14ac:dyDescent="0.2"/>
    <row r="3858" spans="1:5" ht="12" customHeight="1" x14ac:dyDescent="0.25">
      <c r="B3858" s="41" t="s">
        <v>100</v>
      </c>
      <c r="C3858" s="41"/>
      <c r="D3858" s="41"/>
      <c r="E3858" s="41"/>
    </row>
    <row r="3859" spans="1:5" ht="10.95" customHeight="1" x14ac:dyDescent="0.2"/>
    <row r="3860" spans="1:5" ht="10.95" customHeight="1" x14ac:dyDescent="0.2"/>
    <row r="3861" spans="1:5" ht="10.95" customHeight="1" x14ac:dyDescent="0.2"/>
    <row r="3862" spans="1:5" ht="16.2" customHeight="1" x14ac:dyDescent="0.2">
      <c r="A3862" s="39" t="s">
        <v>0</v>
      </c>
      <c r="B3862" s="39"/>
      <c r="C3862" s="39"/>
      <c r="D3862" s="39"/>
      <c r="E3862" s="39"/>
    </row>
    <row r="3863" spans="1:5" ht="10.95" customHeight="1" x14ac:dyDescent="0.2">
      <c r="A3863" s="40" t="s">
        <v>1</v>
      </c>
      <c r="B3863" s="40"/>
      <c r="C3863" s="40"/>
      <c r="D3863" s="40"/>
      <c r="E3863" s="40"/>
    </row>
    <row r="3864" spans="1:5" ht="13.2" customHeight="1" x14ac:dyDescent="0.2">
      <c r="A3864" s="40" t="s">
        <v>198</v>
      </c>
      <c r="B3864" s="40"/>
      <c r="C3864" s="40"/>
      <c r="D3864" s="40"/>
      <c r="E3864" s="40"/>
    </row>
    <row r="3865" spans="1:5" ht="10.95" customHeight="1" x14ac:dyDescent="0.2"/>
    <row r="3866" spans="1:5" ht="10.95" customHeight="1" x14ac:dyDescent="0.2">
      <c r="C3866" s="42" t="s">
        <v>3</v>
      </c>
      <c r="D3866" s="42"/>
      <c r="E3866" s="42"/>
    </row>
    <row r="3867" spans="1:5" ht="12" customHeight="1" x14ac:dyDescent="0.2">
      <c r="D3867" s="26" t="s">
        <v>4</v>
      </c>
      <c r="E3867" s="24">
        <v>4262.8999999999996</v>
      </c>
    </row>
    <row r="3868" spans="1:5" ht="12" customHeight="1" x14ac:dyDescent="0.2">
      <c r="D3868" s="26" t="s">
        <v>5</v>
      </c>
      <c r="E3868" s="23">
        <v>0</v>
      </c>
    </row>
    <row r="3869" spans="1:5" ht="12" customHeight="1" x14ac:dyDescent="0.2">
      <c r="D3869" s="26" t="s">
        <v>6</v>
      </c>
      <c r="E3869" s="30">
        <v>1</v>
      </c>
    </row>
    <row r="3870" spans="1:5" ht="12" customHeight="1" x14ac:dyDescent="0.2">
      <c r="D3870" s="26" t="s">
        <v>7</v>
      </c>
      <c r="E3870" s="30">
        <v>14</v>
      </c>
    </row>
    <row r="3871" spans="1:5" ht="12" customHeight="1" x14ac:dyDescent="0.2">
      <c r="D3871" s="26" t="s">
        <v>8</v>
      </c>
      <c r="E3871" s="30">
        <v>98</v>
      </c>
    </row>
    <row r="3872" spans="1:5" ht="12" customHeight="1" x14ac:dyDescent="0.2">
      <c r="D3872" s="26" t="s">
        <v>9</v>
      </c>
      <c r="E3872" s="30">
        <v>166</v>
      </c>
    </row>
    <row r="3873" spans="1:6" ht="12" customHeight="1" x14ac:dyDescent="0.2">
      <c r="D3873" s="26" t="s">
        <v>10</v>
      </c>
      <c r="E3873" s="30">
        <v>2</v>
      </c>
    </row>
    <row r="3874" spans="1:6" ht="12" customHeight="1" x14ac:dyDescent="0.2">
      <c r="D3874" s="26" t="s">
        <v>11</v>
      </c>
      <c r="E3874" s="30">
        <v>1</v>
      </c>
    </row>
    <row r="3875" spans="1:6" ht="12" customHeight="1" x14ac:dyDescent="0.2">
      <c r="D3875" s="26" t="s">
        <v>12</v>
      </c>
      <c r="E3875" s="30">
        <v>0</v>
      </c>
    </row>
    <row r="3876" spans="1:6" ht="12" customHeight="1" x14ac:dyDescent="0.2">
      <c r="D3876" s="26" t="s">
        <v>13</v>
      </c>
      <c r="E3876" s="30">
        <v>566</v>
      </c>
    </row>
    <row r="3877" spans="1:6" ht="12" customHeight="1" x14ac:dyDescent="0.25">
      <c r="A3877" s="2" t="s">
        <v>14</v>
      </c>
      <c r="B3877" s="3" t="s">
        <v>176</v>
      </c>
    </row>
    <row r="3878" spans="1:6" ht="10.95" customHeight="1" x14ac:dyDescent="0.2"/>
    <row r="3879" spans="1:6" ht="45" customHeight="1" x14ac:dyDescent="0.2">
      <c r="A3879" s="4" t="s">
        <v>15</v>
      </c>
      <c r="B3879" s="4" t="s">
        <v>131</v>
      </c>
      <c r="C3879" s="27" t="s">
        <v>17</v>
      </c>
      <c r="D3879" s="27" t="s">
        <v>103</v>
      </c>
      <c r="E3879" s="27" t="s">
        <v>19</v>
      </c>
    </row>
    <row r="3880" spans="1:6" ht="31.5" customHeight="1" x14ac:dyDescent="0.2">
      <c r="A3880" s="5">
        <v>1</v>
      </c>
      <c r="B3880" s="6" t="s">
        <v>190</v>
      </c>
      <c r="C3880" s="16"/>
      <c r="D3880" s="16"/>
      <c r="E3880" s="17">
        <f>E3881+E3888</f>
        <v>735226.56799999997</v>
      </c>
    </row>
    <row r="3881" spans="1:6" ht="15" customHeight="1" x14ac:dyDescent="0.2">
      <c r="A3881" s="7" t="s">
        <v>21</v>
      </c>
      <c r="B3881" s="6" t="s">
        <v>132</v>
      </c>
      <c r="C3881" s="16"/>
      <c r="D3881" s="16"/>
      <c r="E3881" s="17">
        <f>SUM(E3882:E3887)</f>
        <v>277279.67800000001</v>
      </c>
    </row>
    <row r="3882" spans="1:6" ht="11.25" customHeight="1" x14ac:dyDescent="0.2">
      <c r="A3882" s="15" t="s">
        <v>23</v>
      </c>
      <c r="B3882" s="9" t="s">
        <v>34</v>
      </c>
      <c r="C3882" s="16">
        <v>0.53</v>
      </c>
      <c r="D3882" s="16">
        <v>18781</v>
      </c>
      <c r="E3882" s="19">
        <f>ROUND(C3882*D3882,2)*12</f>
        <v>119447.16</v>
      </c>
      <c r="F3882" s="20"/>
    </row>
    <row r="3883" spans="1:6" ht="11.25" customHeight="1" x14ac:dyDescent="0.2">
      <c r="A3883" s="8" t="s">
        <v>31</v>
      </c>
      <c r="B3883" s="9" t="s">
        <v>36</v>
      </c>
      <c r="C3883" s="16">
        <v>0.38</v>
      </c>
      <c r="D3883" s="16">
        <v>18781</v>
      </c>
      <c r="E3883" s="19">
        <f>ROUND(C3883*D3883,2)*12</f>
        <v>85641.36</v>
      </c>
    </row>
    <row r="3884" spans="1:6" ht="11.25" customHeight="1" x14ac:dyDescent="0.2">
      <c r="A3884" s="8" t="s">
        <v>121</v>
      </c>
      <c r="B3884" s="9" t="s">
        <v>38</v>
      </c>
      <c r="C3884" s="16">
        <v>30.2</v>
      </c>
      <c r="D3884" s="16">
        <f>E3882</f>
        <v>119447.16</v>
      </c>
      <c r="E3884" s="19">
        <f>ROUND(C3884*D3884/100,2)</f>
        <v>36073.040000000001</v>
      </c>
    </row>
    <row r="3885" spans="1:6" ht="11.25" customHeight="1" x14ac:dyDescent="0.2">
      <c r="A3885" s="8" t="s">
        <v>186</v>
      </c>
      <c r="B3885" s="9" t="s">
        <v>40</v>
      </c>
      <c r="C3885" s="16">
        <v>30.2</v>
      </c>
      <c r="D3885" s="16">
        <f>E3883</f>
        <v>85641.36</v>
      </c>
      <c r="E3885" s="19">
        <f>ROUND(C3885*D3885/100,2)</f>
        <v>25863.69</v>
      </c>
    </row>
    <row r="3886" spans="1:6" ht="11.25" customHeight="1" x14ac:dyDescent="0.2">
      <c r="A3886" s="8" t="s">
        <v>187</v>
      </c>
      <c r="B3886" s="9" t="s">
        <v>42</v>
      </c>
      <c r="C3886" s="16"/>
      <c r="D3886" s="16"/>
      <c r="E3886" s="19">
        <f>ROUND(E3882*0.05,2)</f>
        <v>5972.36</v>
      </c>
    </row>
    <row r="3887" spans="1:6" ht="11.25" customHeight="1" x14ac:dyDescent="0.2">
      <c r="A3887" s="8" t="s">
        <v>188</v>
      </c>
      <c r="B3887" s="9" t="s">
        <v>44</v>
      </c>
      <c r="C3887" s="16"/>
      <c r="D3887" s="16"/>
      <c r="E3887" s="19">
        <f>E3883*0.05</f>
        <v>4282.0680000000002</v>
      </c>
    </row>
    <row r="3888" spans="1:6" ht="15" customHeight="1" x14ac:dyDescent="0.2">
      <c r="A3888" s="7" t="s">
        <v>45</v>
      </c>
      <c r="B3888" s="6" t="s">
        <v>189</v>
      </c>
      <c r="C3888" s="16"/>
      <c r="D3888" s="16"/>
      <c r="E3888" s="17">
        <f>E3889+E3890+E3891+E3892</f>
        <v>457946.89</v>
      </c>
    </row>
    <row r="3889" spans="1:6" ht="11.25" customHeight="1" x14ac:dyDescent="0.2">
      <c r="A3889" s="8" t="s">
        <v>47</v>
      </c>
      <c r="B3889" s="9" t="s">
        <v>48</v>
      </c>
      <c r="C3889" s="16">
        <v>1.23</v>
      </c>
      <c r="D3889" s="16">
        <v>18781</v>
      </c>
      <c r="E3889" s="19">
        <f>ROUND(C3889*D3889,2)*12</f>
        <v>277207.56</v>
      </c>
      <c r="F3889" s="20"/>
    </row>
    <row r="3890" spans="1:6" ht="11.25" customHeight="1" x14ac:dyDescent="0.2">
      <c r="A3890" s="8" t="s">
        <v>49</v>
      </c>
      <c r="B3890" s="9" t="s">
        <v>50</v>
      </c>
      <c r="C3890" s="16">
        <v>30.2</v>
      </c>
      <c r="D3890" s="16">
        <f>E3889</f>
        <v>277207.56</v>
      </c>
      <c r="E3890" s="19">
        <f>ROUND(C3890*D3890/100,2)</f>
        <v>83716.679999999993</v>
      </c>
    </row>
    <row r="3891" spans="1:6" ht="11.25" customHeight="1" x14ac:dyDescent="0.2">
      <c r="A3891" s="8" t="s">
        <v>51</v>
      </c>
      <c r="B3891" s="9" t="s">
        <v>52</v>
      </c>
      <c r="C3891" s="16"/>
      <c r="D3891" s="16"/>
      <c r="E3891" s="19">
        <f>ROUND(E3889*0.3,2)</f>
        <v>83162.27</v>
      </c>
    </row>
    <row r="3892" spans="1:6" ht="11.25" customHeight="1" x14ac:dyDescent="0.2">
      <c r="A3892" s="8" t="s">
        <v>53</v>
      </c>
      <c r="B3892" s="9" t="s">
        <v>54</v>
      </c>
      <c r="C3892" s="16"/>
      <c r="D3892" s="16"/>
      <c r="E3892" s="19">
        <f>ROUND(E3889*0.05,2)</f>
        <v>13860.38</v>
      </c>
    </row>
    <row r="3893" spans="1:6" ht="20.100000000000001" customHeight="1" x14ac:dyDescent="0.2">
      <c r="A3893" s="5">
        <v>2</v>
      </c>
      <c r="B3893" s="6" t="s">
        <v>57</v>
      </c>
      <c r="C3893" s="16"/>
      <c r="D3893" s="16"/>
      <c r="E3893" s="17">
        <f>E3894+E3896+E3897+E3898+E3899+E3900+E3895</f>
        <v>342556.62</v>
      </c>
    </row>
    <row r="3894" spans="1:6" ht="11.25" customHeight="1" x14ac:dyDescent="0.2">
      <c r="A3894" s="35" t="s">
        <v>58</v>
      </c>
      <c r="B3894" s="9" t="s">
        <v>204</v>
      </c>
      <c r="C3894" s="16">
        <v>240.7</v>
      </c>
      <c r="D3894" s="16">
        <f>E3894/C3894</f>
        <v>177.97000415454923</v>
      </c>
      <c r="E3894" s="19">
        <v>42837.38</v>
      </c>
    </row>
    <row r="3895" spans="1:6" ht="11.25" customHeight="1" x14ac:dyDescent="0.2">
      <c r="A3895" s="35" t="s">
        <v>60</v>
      </c>
      <c r="B3895" s="9" t="s">
        <v>195</v>
      </c>
      <c r="C3895" s="16">
        <v>240.7</v>
      </c>
      <c r="D3895" s="16">
        <f>E3895/C3895</f>
        <v>219.63344412131283</v>
      </c>
      <c r="E3895" s="19">
        <v>52865.77</v>
      </c>
    </row>
    <row r="3896" spans="1:6" ht="11.25" customHeight="1" x14ac:dyDescent="0.2">
      <c r="A3896" s="35" t="s">
        <v>62</v>
      </c>
      <c r="B3896" s="9" t="s">
        <v>196</v>
      </c>
      <c r="C3896" s="16">
        <v>76.36</v>
      </c>
      <c r="D3896" s="16">
        <f>E3896/C3896</f>
        <v>848.40125720272397</v>
      </c>
      <c r="E3896" s="19">
        <v>64783.92</v>
      </c>
    </row>
    <row r="3897" spans="1:6" ht="11.25" customHeight="1" x14ac:dyDescent="0.2">
      <c r="A3897" s="35" t="s">
        <v>64</v>
      </c>
      <c r="B3897" s="9" t="s">
        <v>63</v>
      </c>
      <c r="C3897" s="16">
        <f>E3897/D3897</f>
        <v>23436.499085923217</v>
      </c>
      <c r="D3897" s="16">
        <v>5.47</v>
      </c>
      <c r="E3897" s="19">
        <f>131280-3082.35</f>
        <v>128197.65</v>
      </c>
    </row>
    <row r="3898" spans="1:6" ht="11.25" customHeight="1" x14ac:dyDescent="0.2">
      <c r="A3898" s="35" t="s">
        <v>66</v>
      </c>
      <c r="B3898" s="9" t="s">
        <v>65</v>
      </c>
      <c r="C3898" s="16">
        <f>E3898/D3898</f>
        <v>664.53677874027323</v>
      </c>
      <c r="D3898" s="16">
        <v>68.11</v>
      </c>
      <c r="E3898" s="19">
        <f>38361.55+6900.05</f>
        <v>45261.600000000006</v>
      </c>
    </row>
    <row r="3899" spans="1:6" ht="11.25" customHeight="1" x14ac:dyDescent="0.2">
      <c r="A3899" s="35" t="s">
        <v>68</v>
      </c>
      <c r="B3899" s="9" t="s">
        <v>69</v>
      </c>
      <c r="C3899" s="16">
        <v>503.5</v>
      </c>
      <c r="D3899" s="16">
        <f>E3899/C3899</f>
        <v>3.3499900695134062</v>
      </c>
      <c r="E3899" s="19">
        <v>1686.72</v>
      </c>
    </row>
    <row r="3900" spans="1:6" ht="11.25" customHeight="1" x14ac:dyDescent="0.2">
      <c r="A3900" s="35" t="s">
        <v>70</v>
      </c>
      <c r="B3900" s="9" t="s">
        <v>71</v>
      </c>
      <c r="C3900" s="16">
        <v>36.82</v>
      </c>
      <c r="D3900" s="16">
        <f>E3900/C3900</f>
        <v>188.03856599674089</v>
      </c>
      <c r="E3900" s="19">
        <v>6923.58</v>
      </c>
    </row>
    <row r="3901" spans="1:6" ht="20.100000000000001" customHeight="1" x14ac:dyDescent="0.2">
      <c r="A3901" s="5">
        <v>3</v>
      </c>
      <c r="B3901" s="6" t="s">
        <v>72</v>
      </c>
      <c r="C3901" s="16"/>
      <c r="D3901" s="16"/>
      <c r="E3901" s="17">
        <f>E3902+E3903+E3904+E3905+E3906+E3907+E3908+E3909+E3910+E3912+E3911</f>
        <v>272703.52988039982</v>
      </c>
    </row>
    <row r="3902" spans="1:6" ht="11.25" customHeight="1" x14ac:dyDescent="0.2">
      <c r="A3902" s="8" t="s">
        <v>73</v>
      </c>
      <c r="B3902" s="9" t="s">
        <v>74</v>
      </c>
      <c r="C3902" s="34">
        <v>2</v>
      </c>
      <c r="D3902" s="16">
        <f>E3902/C3902/12</f>
        <v>5334.9000000000005</v>
      </c>
      <c r="E3902" s="19">
        <v>128037.6</v>
      </c>
    </row>
    <row r="3903" spans="1:6" ht="11.25" customHeight="1" x14ac:dyDescent="0.2">
      <c r="A3903" s="8" t="s">
        <v>75</v>
      </c>
      <c r="B3903" s="9" t="s">
        <v>76</v>
      </c>
      <c r="C3903" s="34"/>
      <c r="D3903" s="16"/>
      <c r="E3903" s="19">
        <v>0</v>
      </c>
    </row>
    <row r="3904" spans="1:6" ht="11.25" customHeight="1" x14ac:dyDescent="0.2">
      <c r="A3904" s="8" t="s">
        <v>77</v>
      </c>
      <c r="B3904" s="9" t="s">
        <v>78</v>
      </c>
      <c r="C3904" s="34">
        <v>1</v>
      </c>
      <c r="D3904" s="16">
        <f>E3904/C3904/12</f>
        <v>4345.7524999999996</v>
      </c>
      <c r="E3904" s="19">
        <v>52149.03</v>
      </c>
    </row>
    <row r="3905" spans="1:6" ht="11.25" customHeight="1" x14ac:dyDescent="0.2">
      <c r="A3905" s="8" t="s">
        <v>79</v>
      </c>
      <c r="B3905" s="9" t="s">
        <v>80</v>
      </c>
      <c r="C3905" s="16">
        <v>4262.8999999999996</v>
      </c>
      <c r="D3905" s="16">
        <f>E3905/C3905</f>
        <v>4.1500692017171419</v>
      </c>
      <c r="E3905" s="19">
        <v>17691.330000000002</v>
      </c>
    </row>
    <row r="3906" spans="1:6" ht="11.25" customHeight="1" x14ac:dyDescent="0.2">
      <c r="A3906" s="8" t="s">
        <v>81</v>
      </c>
      <c r="B3906" s="9" t="s">
        <v>82</v>
      </c>
      <c r="C3906" s="34">
        <v>196</v>
      </c>
      <c r="D3906" s="16">
        <f>E3906/C3906</f>
        <v>68.324897959183673</v>
      </c>
      <c r="E3906" s="19">
        <v>13391.68</v>
      </c>
    </row>
    <row r="3907" spans="1:6" ht="11.25" customHeight="1" x14ac:dyDescent="0.2">
      <c r="A3907" s="8" t="s">
        <v>83</v>
      </c>
      <c r="B3907" s="9" t="s">
        <v>194</v>
      </c>
      <c r="C3907" s="34">
        <v>98</v>
      </c>
      <c r="D3907" s="16">
        <f>E3907/C3907</f>
        <v>85.37540816326532</v>
      </c>
      <c r="E3907" s="19">
        <v>8366.7900000000009</v>
      </c>
    </row>
    <row r="3908" spans="1:6" ht="11.25" customHeight="1" x14ac:dyDescent="0.2">
      <c r="A3908" s="8" t="s">
        <v>85</v>
      </c>
      <c r="B3908" s="9" t="s">
        <v>86</v>
      </c>
      <c r="C3908" s="34"/>
      <c r="D3908" s="16"/>
      <c r="E3908" s="19">
        <v>0</v>
      </c>
    </row>
    <row r="3909" spans="1:6" ht="11.25" customHeight="1" x14ac:dyDescent="0.2">
      <c r="A3909" s="8" t="s">
        <v>87</v>
      </c>
      <c r="B3909" s="9" t="s">
        <v>88</v>
      </c>
      <c r="C3909" s="34">
        <v>98</v>
      </c>
      <c r="D3909" s="16">
        <f>E3909/C3909</f>
        <v>484.98</v>
      </c>
      <c r="E3909" s="19">
        <v>47528.04</v>
      </c>
    </row>
    <row r="3910" spans="1:6" ht="11.25" customHeight="1" x14ac:dyDescent="0.2">
      <c r="A3910" s="8" t="s">
        <v>89</v>
      </c>
      <c r="B3910" s="9" t="s">
        <v>90</v>
      </c>
      <c r="C3910" s="16"/>
      <c r="D3910" s="16"/>
      <c r="E3910" s="19">
        <v>0</v>
      </c>
    </row>
    <row r="3911" spans="1:6" ht="11.25" customHeight="1" x14ac:dyDescent="0.2">
      <c r="A3911" s="8" t="s">
        <v>91</v>
      </c>
      <c r="B3911" s="9" t="s">
        <v>202</v>
      </c>
      <c r="C3911" s="34">
        <v>2</v>
      </c>
      <c r="D3911" s="16">
        <f>E3911/C3911</f>
        <v>2769.5299401998955</v>
      </c>
      <c r="E3911" s="19">
        <f>2826.16*2*1.2*0.81663515754</f>
        <v>5539.0598803997909</v>
      </c>
    </row>
    <row r="3912" spans="1:6" ht="11.25" customHeight="1" x14ac:dyDescent="0.2">
      <c r="A3912" s="8" t="s">
        <v>203</v>
      </c>
      <c r="B3912" s="9" t="s">
        <v>92</v>
      </c>
      <c r="C3912" s="16"/>
      <c r="D3912" s="16"/>
      <c r="E3912" s="19">
        <v>0</v>
      </c>
    </row>
    <row r="3913" spans="1:6" ht="15" customHeight="1" x14ac:dyDescent="0.2">
      <c r="A3913" s="5">
        <v>4</v>
      </c>
      <c r="B3913" s="6" t="s">
        <v>193</v>
      </c>
      <c r="C3913" s="16"/>
      <c r="D3913" s="16"/>
      <c r="E3913" s="17">
        <f>F3914/1.1*0.1</f>
        <v>135048.67199999999</v>
      </c>
    </row>
    <row r="3914" spans="1:6" ht="18.75" customHeight="1" x14ac:dyDescent="0.2">
      <c r="A3914" s="10"/>
      <c r="B3914" s="11" t="s">
        <v>94</v>
      </c>
      <c r="C3914" s="21"/>
      <c r="D3914" s="21"/>
      <c r="E3914" s="17">
        <f>E3880+E3893+E3901+E3913</f>
        <v>1485535.3898803999</v>
      </c>
      <c r="F3914" s="25">
        <f>E3867*29.04*12</f>
        <v>1485535.3919999998</v>
      </c>
    </row>
    <row r="3915" spans="1:6" ht="15" customHeight="1" x14ac:dyDescent="0.25">
      <c r="A3915" s="10"/>
      <c r="B3915" s="11" t="s">
        <v>199</v>
      </c>
      <c r="C3915" s="21"/>
      <c r="D3915" s="21"/>
      <c r="E3915" s="22">
        <v>29.04</v>
      </c>
    </row>
    <row r="3916" spans="1:6" ht="10.95" customHeight="1" x14ac:dyDescent="0.2"/>
    <row r="3917" spans="1:6" ht="10.95" customHeight="1" x14ac:dyDescent="0.2"/>
    <row r="3918" spans="1:6" ht="10.95" customHeight="1" x14ac:dyDescent="0.2"/>
    <row r="3919" spans="1:6" ht="15" customHeight="1" x14ac:dyDescent="0.25">
      <c r="B3919" s="12" t="s">
        <v>96</v>
      </c>
    </row>
    <row r="3920" spans="1:6" ht="12" customHeight="1" x14ac:dyDescent="0.2"/>
    <row r="3921" spans="1:5" ht="13.2" customHeight="1" x14ac:dyDescent="0.25">
      <c r="B3921" s="3" t="s">
        <v>97</v>
      </c>
    </row>
    <row r="3922" spans="1:5" ht="7.95" customHeight="1" x14ac:dyDescent="0.2"/>
    <row r="3923" spans="1:5" ht="12" customHeight="1" x14ac:dyDescent="0.25">
      <c r="B3923" s="41" t="s">
        <v>100</v>
      </c>
      <c r="C3923" s="41"/>
      <c r="D3923" s="41"/>
      <c r="E3923" s="41"/>
    </row>
    <row r="3924" spans="1:5" ht="10.95" customHeight="1" x14ac:dyDescent="0.2"/>
    <row r="3925" spans="1:5" ht="10.95" customHeight="1" x14ac:dyDescent="0.2"/>
    <row r="3926" spans="1:5" ht="10.95" customHeight="1" x14ac:dyDescent="0.2"/>
    <row r="3927" spans="1:5" ht="16.2" customHeight="1" x14ac:dyDescent="0.2">
      <c r="A3927" s="39" t="s">
        <v>0</v>
      </c>
      <c r="B3927" s="39"/>
      <c r="C3927" s="39"/>
      <c r="D3927" s="39"/>
      <c r="E3927" s="39"/>
    </row>
    <row r="3928" spans="1:5" ht="10.95" customHeight="1" x14ac:dyDescent="0.2">
      <c r="A3928" s="40" t="s">
        <v>1</v>
      </c>
      <c r="B3928" s="40"/>
      <c r="C3928" s="40"/>
      <c r="D3928" s="40"/>
      <c r="E3928" s="40"/>
    </row>
    <row r="3929" spans="1:5" ht="13.2" customHeight="1" x14ac:dyDescent="0.2">
      <c r="A3929" s="40" t="s">
        <v>198</v>
      </c>
      <c r="B3929" s="40"/>
      <c r="C3929" s="40"/>
      <c r="D3929" s="40"/>
      <c r="E3929" s="40"/>
    </row>
    <row r="3930" spans="1:5" ht="10.95" customHeight="1" x14ac:dyDescent="0.2"/>
    <row r="3931" spans="1:5" ht="10.95" customHeight="1" x14ac:dyDescent="0.2">
      <c r="C3931" s="42" t="s">
        <v>3</v>
      </c>
      <c r="D3931" s="42"/>
      <c r="E3931" s="42"/>
    </row>
    <row r="3932" spans="1:5" ht="12" customHeight="1" x14ac:dyDescent="0.2">
      <c r="D3932" s="26" t="s">
        <v>4</v>
      </c>
      <c r="E3932" s="24">
        <v>5139.6000000000004</v>
      </c>
    </row>
    <row r="3933" spans="1:5" ht="12" customHeight="1" x14ac:dyDescent="0.2">
      <c r="D3933" s="26" t="s">
        <v>5</v>
      </c>
      <c r="E3933" s="23">
        <v>166.2</v>
      </c>
    </row>
    <row r="3934" spans="1:5" ht="12" customHeight="1" x14ac:dyDescent="0.2">
      <c r="D3934" s="26" t="s">
        <v>6</v>
      </c>
      <c r="E3934" s="30">
        <v>1</v>
      </c>
    </row>
    <row r="3935" spans="1:5" ht="12" customHeight="1" x14ac:dyDescent="0.2">
      <c r="D3935" s="26" t="s">
        <v>7</v>
      </c>
      <c r="E3935" s="30">
        <v>16</v>
      </c>
    </row>
    <row r="3936" spans="1:5" ht="12" customHeight="1" x14ac:dyDescent="0.2">
      <c r="D3936" s="26" t="s">
        <v>8</v>
      </c>
      <c r="E3936" s="30">
        <v>108</v>
      </c>
    </row>
    <row r="3937" spans="1:6" ht="12" customHeight="1" x14ac:dyDescent="0.2">
      <c r="D3937" s="26" t="s">
        <v>9</v>
      </c>
      <c r="E3937" s="30">
        <v>247</v>
      </c>
    </row>
    <row r="3938" spans="1:6" ht="12" customHeight="1" x14ac:dyDescent="0.2">
      <c r="D3938" s="26" t="s">
        <v>10</v>
      </c>
      <c r="E3938" s="30">
        <v>2</v>
      </c>
    </row>
    <row r="3939" spans="1:6" ht="12" customHeight="1" x14ac:dyDescent="0.2">
      <c r="D3939" s="26" t="s">
        <v>11</v>
      </c>
      <c r="E3939" s="30">
        <v>1</v>
      </c>
    </row>
    <row r="3940" spans="1:6" ht="12" customHeight="1" x14ac:dyDescent="0.2">
      <c r="D3940" s="26" t="s">
        <v>12</v>
      </c>
      <c r="E3940" s="30">
        <v>0</v>
      </c>
    </row>
    <row r="3941" spans="1:6" ht="12" customHeight="1" x14ac:dyDescent="0.2">
      <c r="D3941" s="26" t="s">
        <v>13</v>
      </c>
      <c r="E3941" s="30">
        <v>859</v>
      </c>
    </row>
    <row r="3942" spans="1:6" ht="12" customHeight="1" x14ac:dyDescent="0.25">
      <c r="A3942" s="2" t="s">
        <v>14</v>
      </c>
      <c r="B3942" s="3" t="s">
        <v>133</v>
      </c>
    </row>
    <row r="3943" spans="1:6" ht="10.95" customHeight="1" x14ac:dyDescent="0.2"/>
    <row r="3944" spans="1:6" ht="45" customHeight="1" x14ac:dyDescent="0.2">
      <c r="A3944" s="4" t="s">
        <v>15</v>
      </c>
      <c r="B3944" s="4" t="s">
        <v>131</v>
      </c>
      <c r="C3944" s="27" t="s">
        <v>17</v>
      </c>
      <c r="D3944" s="27" t="s">
        <v>103</v>
      </c>
      <c r="E3944" s="27" t="s">
        <v>19</v>
      </c>
    </row>
    <row r="3945" spans="1:6" ht="31.5" customHeight="1" x14ac:dyDescent="0.2">
      <c r="A3945" s="5">
        <v>1</v>
      </c>
      <c r="B3945" s="6" t="s">
        <v>190</v>
      </c>
      <c r="C3945" s="16"/>
      <c r="D3945" s="16"/>
      <c r="E3945" s="17">
        <f>E3946+E3953</f>
        <v>912977.47400000005</v>
      </c>
    </row>
    <row r="3946" spans="1:6" ht="15" customHeight="1" x14ac:dyDescent="0.2">
      <c r="A3946" s="7" t="s">
        <v>21</v>
      </c>
      <c r="B3946" s="6" t="s">
        <v>132</v>
      </c>
      <c r="C3946" s="16"/>
      <c r="D3946" s="16"/>
      <c r="E3946" s="17">
        <f>SUM(E3947:E3952)</f>
        <v>432881.02</v>
      </c>
    </row>
    <row r="3947" spans="1:6" ht="11.25" customHeight="1" x14ac:dyDescent="0.2">
      <c r="A3947" s="15" t="s">
        <v>23</v>
      </c>
      <c r="B3947" s="9" t="s">
        <v>34</v>
      </c>
      <c r="C3947" s="16">
        <v>0.8</v>
      </c>
      <c r="D3947" s="16">
        <v>18781</v>
      </c>
      <c r="E3947" s="19">
        <f>ROUND(C3947*D3947,2)*12</f>
        <v>180297.59999999998</v>
      </c>
      <c r="F3947" s="20"/>
    </row>
    <row r="3948" spans="1:6" ht="11.25" customHeight="1" x14ac:dyDescent="0.2">
      <c r="A3948" s="8" t="s">
        <v>31</v>
      </c>
      <c r="B3948" s="9" t="s">
        <v>36</v>
      </c>
      <c r="C3948" s="16">
        <v>0.56999999999999995</v>
      </c>
      <c r="D3948" s="16">
        <v>18781</v>
      </c>
      <c r="E3948" s="19">
        <f>ROUND(C3948*D3948,2)*12</f>
        <v>128462.04000000001</v>
      </c>
    </row>
    <row r="3949" spans="1:6" ht="11.25" customHeight="1" x14ac:dyDescent="0.2">
      <c r="A3949" s="8" t="s">
        <v>121</v>
      </c>
      <c r="B3949" s="9" t="s">
        <v>38</v>
      </c>
      <c r="C3949" s="16">
        <v>30.2</v>
      </c>
      <c r="D3949" s="16">
        <f>E3947</f>
        <v>180297.59999999998</v>
      </c>
      <c r="E3949" s="19">
        <f>ROUND(C3949*D3949/100,2)</f>
        <v>54449.88</v>
      </c>
    </row>
    <row r="3950" spans="1:6" ht="11.25" customHeight="1" x14ac:dyDescent="0.2">
      <c r="A3950" s="8" t="s">
        <v>186</v>
      </c>
      <c r="B3950" s="9" t="s">
        <v>40</v>
      </c>
      <c r="C3950" s="16">
        <v>30.2</v>
      </c>
      <c r="D3950" s="16">
        <f>E3948</f>
        <v>128462.04000000001</v>
      </c>
      <c r="E3950" s="19">
        <f>ROUND(C3950*D3950/100,2)</f>
        <v>38795.54</v>
      </c>
    </row>
    <row r="3951" spans="1:6" ht="11.25" customHeight="1" x14ac:dyDescent="0.2">
      <c r="A3951" s="8" t="s">
        <v>187</v>
      </c>
      <c r="B3951" s="9" t="s">
        <v>42</v>
      </c>
      <c r="C3951" s="16"/>
      <c r="D3951" s="16"/>
      <c r="E3951" s="19">
        <f>ROUND(E3947*0.1,2)</f>
        <v>18029.759999999998</v>
      </c>
    </row>
    <row r="3952" spans="1:6" ht="11.25" customHeight="1" x14ac:dyDescent="0.2">
      <c r="A3952" s="8" t="s">
        <v>188</v>
      </c>
      <c r="B3952" s="9" t="s">
        <v>44</v>
      </c>
      <c r="C3952" s="16"/>
      <c r="D3952" s="16"/>
      <c r="E3952" s="19">
        <f>ROUND(E3948*0.1,2)</f>
        <v>12846.2</v>
      </c>
    </row>
    <row r="3953" spans="1:6" ht="15" customHeight="1" x14ac:dyDescent="0.2">
      <c r="A3953" s="7" t="s">
        <v>45</v>
      </c>
      <c r="B3953" s="6" t="s">
        <v>189</v>
      </c>
      <c r="C3953" s="16"/>
      <c r="D3953" s="16"/>
      <c r="E3953" s="17">
        <f>E3954+E3955+E3956+E3957</f>
        <v>480096.45400000003</v>
      </c>
    </row>
    <row r="3954" spans="1:6" ht="11.25" customHeight="1" x14ac:dyDescent="0.2">
      <c r="A3954" s="8" t="s">
        <v>47</v>
      </c>
      <c r="B3954" s="9" t="s">
        <v>48</v>
      </c>
      <c r="C3954" s="16">
        <f>0.94+0.18</f>
        <v>1.1199999999999999</v>
      </c>
      <c r="D3954" s="16">
        <v>18781</v>
      </c>
      <c r="E3954" s="19">
        <f>ROUND(C3954*D3954,2)*12</f>
        <v>252416.64000000001</v>
      </c>
      <c r="F3954" s="20"/>
    </row>
    <row r="3955" spans="1:6" ht="11.25" customHeight="1" x14ac:dyDescent="0.2">
      <c r="A3955" s="8" t="s">
        <v>49</v>
      </c>
      <c r="B3955" s="9" t="s">
        <v>50</v>
      </c>
      <c r="C3955" s="16">
        <v>30.2</v>
      </c>
      <c r="D3955" s="16">
        <f>E3954</f>
        <v>252416.64000000001</v>
      </c>
      <c r="E3955" s="19">
        <f>ROUND(C3955*D3955/100,2)</f>
        <v>76229.83</v>
      </c>
    </row>
    <row r="3956" spans="1:6" ht="11.25" customHeight="1" x14ac:dyDescent="0.2">
      <c r="A3956" s="8" t="s">
        <v>51</v>
      </c>
      <c r="B3956" s="9" t="s">
        <v>52</v>
      </c>
      <c r="C3956" s="16"/>
      <c r="D3956" s="16"/>
      <c r="E3956" s="19">
        <f>E3954*0.5</f>
        <v>126208.32000000001</v>
      </c>
    </row>
    <row r="3957" spans="1:6" ht="11.25" customHeight="1" x14ac:dyDescent="0.2">
      <c r="A3957" s="8" t="s">
        <v>53</v>
      </c>
      <c r="B3957" s="9" t="s">
        <v>54</v>
      </c>
      <c r="C3957" s="16"/>
      <c r="D3957" s="16"/>
      <c r="E3957" s="19">
        <f>E3954*0.1</f>
        <v>25241.664000000004</v>
      </c>
    </row>
    <row r="3958" spans="1:6" ht="20.100000000000001" customHeight="1" x14ac:dyDescent="0.2">
      <c r="A3958" s="5">
        <v>2</v>
      </c>
      <c r="B3958" s="6" t="s">
        <v>57</v>
      </c>
      <c r="C3958" s="16"/>
      <c r="D3958" s="16"/>
      <c r="E3958" s="17">
        <f>E3959+E3961+E3962+E3963+E3964+E3965+E3960</f>
        <v>389764.28</v>
      </c>
    </row>
    <row r="3959" spans="1:6" ht="11.25" customHeight="1" x14ac:dyDescent="0.2">
      <c r="A3959" s="35" t="s">
        <v>58</v>
      </c>
      <c r="B3959" s="9" t="s">
        <v>204</v>
      </c>
      <c r="C3959" s="16">
        <v>358.15</v>
      </c>
      <c r="D3959" s="16">
        <f>E3959/C3959</f>
        <v>177.97001256456792</v>
      </c>
      <c r="E3959" s="19">
        <v>63739.96</v>
      </c>
    </row>
    <row r="3960" spans="1:6" ht="11.25" customHeight="1" x14ac:dyDescent="0.2">
      <c r="A3960" s="35" t="s">
        <v>60</v>
      </c>
      <c r="B3960" s="9" t="s">
        <v>195</v>
      </c>
      <c r="C3960" s="16">
        <v>358.15</v>
      </c>
      <c r="D3960" s="16">
        <f>E3960/C3960</f>
        <v>219.63342175066316</v>
      </c>
      <c r="E3960" s="19">
        <v>78661.710000000006</v>
      </c>
    </row>
    <row r="3961" spans="1:6" ht="11.25" customHeight="1" x14ac:dyDescent="0.2">
      <c r="A3961" s="35" t="s">
        <v>62</v>
      </c>
      <c r="B3961" s="9" t="s">
        <v>196</v>
      </c>
      <c r="C3961" s="16">
        <v>113.62</v>
      </c>
      <c r="D3961" s="16">
        <f>E3961/C3961</f>
        <v>848.40124977996834</v>
      </c>
      <c r="E3961" s="19">
        <v>96395.35</v>
      </c>
    </row>
    <row r="3962" spans="1:6" ht="11.25" customHeight="1" x14ac:dyDescent="0.2">
      <c r="A3962" s="35" t="s">
        <v>64</v>
      </c>
      <c r="B3962" s="9" t="s">
        <v>63</v>
      </c>
      <c r="C3962" s="16">
        <f>E3962/D3962</f>
        <v>27905.457300275481</v>
      </c>
      <c r="D3962" s="16">
        <v>3.63</v>
      </c>
      <c r="E3962" s="19">
        <f>94380+6916.81</f>
        <v>101296.81</v>
      </c>
    </row>
    <row r="3963" spans="1:6" ht="11.25" customHeight="1" x14ac:dyDescent="0.2">
      <c r="A3963" s="35" t="s">
        <v>66</v>
      </c>
      <c r="B3963" s="9" t="s">
        <v>65</v>
      </c>
      <c r="C3963" s="16">
        <f>E3963/D3963</f>
        <v>588.70239318749088</v>
      </c>
      <c r="D3963" s="16">
        <v>68.11</v>
      </c>
      <c r="E3963" s="19">
        <f>40031.11+65.41</f>
        <v>40096.520000000004</v>
      </c>
      <c r="F3963" s="20"/>
    </row>
    <row r="3964" spans="1:6" ht="11.25" customHeight="1" x14ac:dyDescent="0.2">
      <c r="A3964" s="35" t="s">
        <v>68</v>
      </c>
      <c r="B3964" s="9" t="s">
        <v>69</v>
      </c>
      <c r="C3964" s="16">
        <v>495.9</v>
      </c>
      <c r="D3964" s="16">
        <f>E3964/C3964</f>
        <v>3.3499899173220409</v>
      </c>
      <c r="E3964" s="19">
        <v>1661.26</v>
      </c>
    </row>
    <row r="3965" spans="1:6" ht="11.25" customHeight="1" x14ac:dyDescent="0.2">
      <c r="A3965" s="35" t="s">
        <v>70</v>
      </c>
      <c r="B3965" s="9" t="s">
        <v>71</v>
      </c>
      <c r="C3965" s="16">
        <v>42.08</v>
      </c>
      <c r="D3965" s="16">
        <f>E3965/C3965</f>
        <v>188.03873574144487</v>
      </c>
      <c r="E3965" s="19">
        <v>7912.67</v>
      </c>
    </row>
    <row r="3966" spans="1:6" ht="20.100000000000001" customHeight="1" x14ac:dyDescent="0.2">
      <c r="A3966" s="5">
        <v>3</v>
      </c>
      <c r="B3966" s="6" t="s">
        <v>72</v>
      </c>
      <c r="C3966" s="16"/>
      <c r="D3966" s="16"/>
      <c r="E3966" s="17">
        <f>E3967+E3968+E3969+E3970+E3971+E3972+E3973+E3974+E3975+E3977+E3976</f>
        <v>325483.51988039981</v>
      </c>
    </row>
    <row r="3967" spans="1:6" ht="11.25" customHeight="1" x14ac:dyDescent="0.2">
      <c r="A3967" s="8" t="s">
        <v>73</v>
      </c>
      <c r="B3967" s="9" t="s">
        <v>74</v>
      </c>
      <c r="C3967" s="34">
        <v>2</v>
      </c>
      <c r="D3967" s="16">
        <f>E3967/C3967/12</f>
        <v>6318.0358333333324</v>
      </c>
      <c r="E3967" s="19">
        <v>151632.85999999999</v>
      </c>
    </row>
    <row r="3968" spans="1:6" ht="11.25" customHeight="1" x14ac:dyDescent="0.2">
      <c r="A3968" s="8" t="s">
        <v>75</v>
      </c>
      <c r="B3968" s="9" t="s">
        <v>76</v>
      </c>
      <c r="C3968" s="34">
        <v>108</v>
      </c>
      <c r="D3968" s="16">
        <f>E3968/C3968</f>
        <v>199.16027777777779</v>
      </c>
      <c r="E3968" s="19">
        <v>21509.31</v>
      </c>
    </row>
    <row r="3969" spans="1:6" ht="11.25" customHeight="1" x14ac:dyDescent="0.2">
      <c r="A3969" s="8" t="s">
        <v>77</v>
      </c>
      <c r="B3969" s="9" t="s">
        <v>78</v>
      </c>
      <c r="C3969" s="34">
        <v>1</v>
      </c>
      <c r="D3969" s="16">
        <f>E3969/C3969/12</f>
        <v>6809.5225</v>
      </c>
      <c r="E3969" s="19">
        <v>81714.27</v>
      </c>
    </row>
    <row r="3970" spans="1:6" ht="11.25" customHeight="1" x14ac:dyDescent="0.2">
      <c r="A3970" s="8" t="s">
        <v>79</v>
      </c>
      <c r="B3970" s="9" t="s">
        <v>80</v>
      </c>
      <c r="C3970" s="16">
        <v>5139.6000000000004</v>
      </c>
      <c r="D3970" s="16">
        <f>E3970/C3970</f>
        <v>4.2842711495057975</v>
      </c>
      <c r="E3970" s="19">
        <v>22019.439999999999</v>
      </c>
    </row>
    <row r="3971" spans="1:6" ht="11.25" customHeight="1" x14ac:dyDescent="0.2">
      <c r="A3971" s="8" t="s">
        <v>81</v>
      </c>
      <c r="B3971" s="9" t="s">
        <v>82</v>
      </c>
      <c r="C3971" s="34">
        <v>216</v>
      </c>
      <c r="D3971" s="16">
        <f>E3971/C3971</f>
        <v>68.32138888888889</v>
      </c>
      <c r="E3971" s="19">
        <v>14757.42</v>
      </c>
    </row>
    <row r="3972" spans="1:6" ht="11.25" customHeight="1" x14ac:dyDescent="0.2">
      <c r="A3972" s="8" t="s">
        <v>83</v>
      </c>
      <c r="B3972" s="9" t="s">
        <v>194</v>
      </c>
      <c r="C3972" s="34">
        <v>108</v>
      </c>
      <c r="D3972" s="16">
        <f>E3972/C3972</f>
        <v>84.18425925925925</v>
      </c>
      <c r="E3972" s="19">
        <v>9091.9</v>
      </c>
    </row>
    <row r="3973" spans="1:6" ht="11.25" customHeight="1" x14ac:dyDescent="0.2">
      <c r="A3973" s="8" t="s">
        <v>85</v>
      </c>
      <c r="B3973" s="9" t="s">
        <v>86</v>
      </c>
      <c r="C3973" s="16">
        <v>1</v>
      </c>
      <c r="D3973" s="16">
        <f>E3973/C3973</f>
        <v>19219.259999999998</v>
      </c>
      <c r="E3973" s="19">
        <v>19219.259999999998</v>
      </c>
    </row>
    <row r="3974" spans="1:6" ht="11.25" customHeight="1" x14ac:dyDescent="0.2">
      <c r="A3974" s="8" t="s">
        <v>87</v>
      </c>
      <c r="B3974" s="9" t="s">
        <v>88</v>
      </c>
      <c r="C3974" s="16"/>
      <c r="D3974" s="16"/>
      <c r="E3974" s="19">
        <v>0</v>
      </c>
    </row>
    <row r="3975" spans="1:6" ht="11.25" customHeight="1" x14ac:dyDescent="0.2">
      <c r="A3975" s="8" t="s">
        <v>89</v>
      </c>
      <c r="B3975" s="9" t="s">
        <v>90</v>
      </c>
      <c r="C3975" s="16"/>
      <c r="D3975" s="16"/>
      <c r="E3975" s="19">
        <v>0</v>
      </c>
    </row>
    <row r="3976" spans="1:6" ht="11.25" customHeight="1" x14ac:dyDescent="0.2">
      <c r="A3976" s="8" t="s">
        <v>91</v>
      </c>
      <c r="B3976" s="9" t="s">
        <v>202</v>
      </c>
      <c r="C3976" s="34">
        <v>2</v>
      </c>
      <c r="D3976" s="16">
        <f>E3976/C3976</f>
        <v>2769.5299401998955</v>
      </c>
      <c r="E3976" s="19">
        <f>2826.16*2*1.2*0.81663515754</f>
        <v>5539.0598803997909</v>
      </c>
    </row>
    <row r="3977" spans="1:6" ht="11.25" customHeight="1" x14ac:dyDescent="0.2">
      <c r="A3977" s="8" t="s">
        <v>203</v>
      </c>
      <c r="B3977" s="9" t="s">
        <v>92</v>
      </c>
      <c r="C3977" s="16"/>
      <c r="D3977" s="16"/>
      <c r="E3977" s="19">
        <v>0</v>
      </c>
    </row>
    <row r="3978" spans="1:6" ht="15" customHeight="1" x14ac:dyDescent="0.2">
      <c r="A3978" s="5">
        <v>4</v>
      </c>
      <c r="B3978" s="6" t="s">
        <v>193</v>
      </c>
      <c r="C3978" s="16"/>
      <c r="D3978" s="16"/>
      <c r="E3978" s="17">
        <f>ROUND(F3979/1.1*0.1,2)</f>
        <v>162822.53</v>
      </c>
    </row>
    <row r="3979" spans="1:6" ht="18.75" customHeight="1" x14ac:dyDescent="0.2">
      <c r="A3979" s="10"/>
      <c r="B3979" s="11" t="s">
        <v>94</v>
      </c>
      <c r="C3979" s="21"/>
      <c r="D3979" s="21"/>
      <c r="E3979" s="17">
        <f>E3945+E3958+E3966+E3978</f>
        <v>1791047.8038804</v>
      </c>
      <c r="F3979" s="25">
        <f>E3932*29.04*12</f>
        <v>1791047.808</v>
      </c>
    </row>
    <row r="3980" spans="1:6" ht="15" customHeight="1" x14ac:dyDescent="0.25">
      <c r="A3980" s="10"/>
      <c r="B3980" s="11" t="s">
        <v>199</v>
      </c>
      <c r="C3980" s="21"/>
      <c r="D3980" s="21"/>
      <c r="E3980" s="22">
        <v>29.04</v>
      </c>
    </row>
    <row r="3981" spans="1:6" ht="10.95" customHeight="1" x14ac:dyDescent="0.2"/>
    <row r="3982" spans="1:6" ht="10.95" customHeight="1" x14ac:dyDescent="0.2"/>
    <row r="3983" spans="1:6" ht="10.95" customHeight="1" x14ac:dyDescent="0.2"/>
    <row r="3984" spans="1:6" ht="15" customHeight="1" x14ac:dyDescent="0.25">
      <c r="B3984" s="12" t="s">
        <v>96</v>
      </c>
    </row>
    <row r="3985" spans="1:5" ht="12" customHeight="1" x14ac:dyDescent="0.2"/>
    <row r="3986" spans="1:5" ht="13.2" customHeight="1" x14ac:dyDescent="0.25">
      <c r="B3986" s="3" t="s">
        <v>97</v>
      </c>
    </row>
    <row r="3987" spans="1:5" ht="7.95" customHeight="1" x14ac:dyDescent="0.2"/>
    <row r="3988" spans="1:5" ht="12" customHeight="1" x14ac:dyDescent="0.25">
      <c r="B3988" s="41" t="s">
        <v>100</v>
      </c>
      <c r="C3988" s="41"/>
      <c r="D3988" s="41"/>
      <c r="E3988" s="41"/>
    </row>
    <row r="3989" spans="1:5" ht="10.95" customHeight="1" x14ac:dyDescent="0.2"/>
    <row r="3990" spans="1:5" ht="10.95" customHeight="1" x14ac:dyDescent="0.2"/>
    <row r="3991" spans="1:5" ht="10.95" customHeight="1" x14ac:dyDescent="0.2"/>
    <row r="3992" spans="1:5" ht="16.2" customHeight="1" x14ac:dyDescent="0.2">
      <c r="A3992" s="39" t="s">
        <v>0</v>
      </c>
      <c r="B3992" s="39"/>
      <c r="C3992" s="39"/>
      <c r="D3992" s="39"/>
      <c r="E3992" s="39"/>
    </row>
    <row r="3993" spans="1:5" ht="10.95" customHeight="1" x14ac:dyDescent="0.2">
      <c r="A3993" s="40" t="s">
        <v>1</v>
      </c>
      <c r="B3993" s="40"/>
      <c r="C3993" s="40"/>
      <c r="D3993" s="40"/>
      <c r="E3993" s="40"/>
    </row>
    <row r="3994" spans="1:5" ht="13.2" customHeight="1" x14ac:dyDescent="0.2">
      <c r="A3994" s="40" t="s">
        <v>198</v>
      </c>
      <c r="B3994" s="40"/>
      <c r="C3994" s="40"/>
      <c r="D3994" s="40"/>
      <c r="E3994" s="40"/>
    </row>
    <row r="3995" spans="1:5" ht="10.95" customHeight="1" x14ac:dyDescent="0.2"/>
    <row r="3996" spans="1:5" ht="10.95" customHeight="1" x14ac:dyDescent="0.2">
      <c r="C3996" s="42" t="s">
        <v>3</v>
      </c>
      <c r="D3996" s="42"/>
      <c r="E3996" s="42"/>
    </row>
    <row r="3997" spans="1:5" ht="12" customHeight="1" x14ac:dyDescent="0.2">
      <c r="D3997" s="26" t="s">
        <v>4</v>
      </c>
      <c r="E3997" s="24">
        <v>9069.9</v>
      </c>
    </row>
    <row r="3998" spans="1:5" ht="12" customHeight="1" x14ac:dyDescent="0.2">
      <c r="D3998" s="26" t="s">
        <v>5</v>
      </c>
      <c r="E3998" s="23">
        <v>68.2</v>
      </c>
    </row>
    <row r="3999" spans="1:5" ht="12" customHeight="1" x14ac:dyDescent="0.2">
      <c r="D3999" s="26" t="s">
        <v>6</v>
      </c>
      <c r="E3999" s="30">
        <v>3</v>
      </c>
    </row>
    <row r="4000" spans="1:5" ht="12" customHeight="1" x14ac:dyDescent="0.2">
      <c r="D4000" s="26" t="s">
        <v>7</v>
      </c>
      <c r="E4000" s="30">
        <v>16</v>
      </c>
    </row>
    <row r="4001" spans="1:6" ht="12" customHeight="1" x14ac:dyDescent="0.2">
      <c r="D4001" s="26" t="s">
        <v>8</v>
      </c>
      <c r="E4001" s="30">
        <v>157</v>
      </c>
    </row>
    <row r="4002" spans="1:6" ht="12" customHeight="1" x14ac:dyDescent="0.2">
      <c r="D4002" s="26" t="s">
        <v>9</v>
      </c>
      <c r="E4002" s="30">
        <v>410</v>
      </c>
    </row>
    <row r="4003" spans="1:6" ht="12" customHeight="1" x14ac:dyDescent="0.2">
      <c r="D4003" s="26" t="s">
        <v>10</v>
      </c>
      <c r="E4003" s="30">
        <v>6</v>
      </c>
    </row>
    <row r="4004" spans="1:6" ht="12" customHeight="1" x14ac:dyDescent="0.2">
      <c r="D4004" s="26" t="s">
        <v>11</v>
      </c>
      <c r="E4004" s="30">
        <v>3</v>
      </c>
    </row>
    <row r="4005" spans="1:6" ht="12" customHeight="1" x14ac:dyDescent="0.2">
      <c r="D4005" s="26" t="s">
        <v>12</v>
      </c>
      <c r="E4005" s="30">
        <v>0</v>
      </c>
    </row>
    <row r="4006" spans="1:6" ht="12" customHeight="1" x14ac:dyDescent="0.2">
      <c r="D4006" s="26" t="s">
        <v>13</v>
      </c>
      <c r="E4006" s="30">
        <v>1656</v>
      </c>
    </row>
    <row r="4007" spans="1:6" ht="12" customHeight="1" x14ac:dyDescent="0.25">
      <c r="A4007" s="2" t="s">
        <v>14</v>
      </c>
      <c r="B4007" s="3" t="s">
        <v>177</v>
      </c>
    </row>
    <row r="4008" spans="1:6" ht="10.95" customHeight="1" x14ac:dyDescent="0.2"/>
    <row r="4009" spans="1:6" ht="45" customHeight="1" x14ac:dyDescent="0.2">
      <c r="A4009" s="4" t="s">
        <v>15</v>
      </c>
      <c r="B4009" s="4" t="s">
        <v>131</v>
      </c>
      <c r="C4009" s="27" t="s">
        <v>17</v>
      </c>
      <c r="D4009" s="27" t="s">
        <v>103</v>
      </c>
      <c r="E4009" s="27" t="s">
        <v>19</v>
      </c>
    </row>
    <row r="4010" spans="1:6" ht="31.5" customHeight="1" x14ac:dyDescent="0.2">
      <c r="A4010" s="5">
        <v>1</v>
      </c>
      <c r="B4010" s="6" t="s">
        <v>190</v>
      </c>
      <c r="C4010" s="16"/>
      <c r="D4010" s="16"/>
      <c r="E4010" s="17">
        <f>E4011+E4018</f>
        <v>1314135.1180000002</v>
      </c>
    </row>
    <row r="4011" spans="1:6" ht="15" customHeight="1" x14ac:dyDescent="0.2">
      <c r="A4011" s="7" t="s">
        <v>21</v>
      </c>
      <c r="B4011" s="6" t="s">
        <v>132</v>
      </c>
      <c r="C4011" s="16"/>
      <c r="D4011" s="16"/>
      <c r="E4011" s="17">
        <f>SUM(E4012:E4017)</f>
        <v>755663.29800000007</v>
      </c>
    </row>
    <row r="4012" spans="1:6" ht="11.25" customHeight="1" x14ac:dyDescent="0.2">
      <c r="A4012" s="15" t="s">
        <v>23</v>
      </c>
      <c r="B4012" s="9" t="s">
        <v>34</v>
      </c>
      <c r="C4012" s="16">
        <v>1.54</v>
      </c>
      <c r="D4012" s="16">
        <v>18781</v>
      </c>
      <c r="E4012" s="19">
        <f>ROUND(C4012*D4012,2)*12</f>
        <v>347072.88</v>
      </c>
      <c r="F4012" s="20"/>
    </row>
    <row r="4013" spans="1:6" ht="11.25" customHeight="1" x14ac:dyDescent="0.2">
      <c r="A4013" s="8" t="s">
        <v>31</v>
      </c>
      <c r="B4013" s="9" t="s">
        <v>36</v>
      </c>
      <c r="C4013" s="16">
        <v>0.94</v>
      </c>
      <c r="D4013" s="16">
        <v>18781</v>
      </c>
      <c r="E4013" s="19">
        <f>ROUND(C4013*D4013,2)*12</f>
        <v>211849.68</v>
      </c>
    </row>
    <row r="4014" spans="1:6" ht="11.25" customHeight="1" x14ac:dyDescent="0.2">
      <c r="A4014" s="8" t="s">
        <v>121</v>
      </c>
      <c r="B4014" s="9" t="s">
        <v>38</v>
      </c>
      <c r="C4014" s="16">
        <v>30.2</v>
      </c>
      <c r="D4014" s="16">
        <f>E4012</f>
        <v>347072.88</v>
      </c>
      <c r="E4014" s="19">
        <f>ROUND(C4014*D4014/100,2)</f>
        <v>104816.01</v>
      </c>
    </row>
    <row r="4015" spans="1:6" ht="11.25" customHeight="1" x14ac:dyDescent="0.2">
      <c r="A4015" s="8" t="s">
        <v>186</v>
      </c>
      <c r="B4015" s="9" t="s">
        <v>40</v>
      </c>
      <c r="C4015" s="16">
        <v>30.2</v>
      </c>
      <c r="D4015" s="16">
        <f>E4013</f>
        <v>211849.68</v>
      </c>
      <c r="E4015" s="19">
        <f>ROUND(C4015*D4015/100,2)</f>
        <v>63978.6</v>
      </c>
    </row>
    <row r="4016" spans="1:6" ht="11.25" customHeight="1" x14ac:dyDescent="0.2">
      <c r="A4016" s="8" t="s">
        <v>187</v>
      </c>
      <c r="B4016" s="9" t="s">
        <v>42</v>
      </c>
      <c r="C4016" s="16"/>
      <c r="D4016" s="16"/>
      <c r="E4016" s="19">
        <f>E4012*0.05</f>
        <v>17353.644</v>
      </c>
    </row>
    <row r="4017" spans="1:6" ht="11.25" customHeight="1" x14ac:dyDescent="0.2">
      <c r="A4017" s="8" t="s">
        <v>188</v>
      </c>
      <c r="B4017" s="9" t="s">
        <v>44</v>
      </c>
      <c r="C4017" s="16"/>
      <c r="D4017" s="16"/>
      <c r="E4017" s="19">
        <f>E4013*0.05</f>
        <v>10592.484</v>
      </c>
    </row>
    <row r="4018" spans="1:6" ht="15" customHeight="1" x14ac:dyDescent="0.2">
      <c r="A4018" s="7" t="s">
        <v>45</v>
      </c>
      <c r="B4018" s="6" t="s">
        <v>189</v>
      </c>
      <c r="C4018" s="16"/>
      <c r="D4018" s="16"/>
      <c r="E4018" s="17">
        <f>E4019+E4020+E4021+E4022</f>
        <v>558471.82000000007</v>
      </c>
    </row>
    <row r="4019" spans="1:6" ht="11.25" customHeight="1" x14ac:dyDescent="0.2">
      <c r="A4019" s="8" t="s">
        <v>47</v>
      </c>
      <c r="B4019" s="9" t="s">
        <v>48</v>
      </c>
      <c r="C4019" s="16">
        <v>1.5</v>
      </c>
      <c r="D4019" s="16">
        <v>18781</v>
      </c>
      <c r="E4019" s="19">
        <f>ROUND(C4019*D4019,2)*12</f>
        <v>338058</v>
      </c>
      <c r="F4019" s="20"/>
    </row>
    <row r="4020" spans="1:6" ht="11.25" customHeight="1" x14ac:dyDescent="0.2">
      <c r="A4020" s="8" t="s">
        <v>49</v>
      </c>
      <c r="B4020" s="9" t="s">
        <v>50</v>
      </c>
      <c r="C4020" s="16">
        <v>30.2</v>
      </c>
      <c r="D4020" s="16">
        <f>E4019</f>
        <v>338058</v>
      </c>
      <c r="E4020" s="19">
        <f>ROUND(C4020*D4020/100,2)</f>
        <v>102093.52</v>
      </c>
    </row>
    <row r="4021" spans="1:6" ht="11.25" customHeight="1" x14ac:dyDescent="0.2">
      <c r="A4021" s="8" t="s">
        <v>51</v>
      </c>
      <c r="B4021" s="9" t="s">
        <v>52</v>
      </c>
      <c r="C4021" s="16"/>
      <c r="D4021" s="16"/>
      <c r="E4021" s="19">
        <f>E4019*0.3</f>
        <v>101417.4</v>
      </c>
    </row>
    <row r="4022" spans="1:6" ht="11.25" customHeight="1" x14ac:dyDescent="0.2">
      <c r="A4022" s="8" t="s">
        <v>53</v>
      </c>
      <c r="B4022" s="9" t="s">
        <v>54</v>
      </c>
      <c r="C4022" s="16"/>
      <c r="D4022" s="16"/>
      <c r="E4022" s="19">
        <f>E4019*0.05</f>
        <v>16902.900000000001</v>
      </c>
    </row>
    <row r="4023" spans="1:6" ht="20.100000000000001" customHeight="1" x14ac:dyDescent="0.2">
      <c r="A4023" s="5">
        <v>2</v>
      </c>
      <c r="B4023" s="6" t="s">
        <v>57</v>
      </c>
      <c r="C4023" s="16"/>
      <c r="D4023" s="16"/>
      <c r="E4023" s="17">
        <f>E4024+E4026+E4027+E4028+E4029+E4030+E4025</f>
        <v>890856.76</v>
      </c>
    </row>
    <row r="4024" spans="1:6" ht="11.25" customHeight="1" x14ac:dyDescent="0.2">
      <c r="A4024" s="35" t="s">
        <v>58</v>
      </c>
      <c r="B4024" s="9" t="s">
        <v>204</v>
      </c>
      <c r="C4024" s="16">
        <v>594.5</v>
      </c>
      <c r="D4024" s="16">
        <f>E4024/C4024</f>
        <v>177.97000841042893</v>
      </c>
      <c r="E4024" s="19">
        <v>105803.17</v>
      </c>
    </row>
    <row r="4025" spans="1:6" ht="11.25" customHeight="1" x14ac:dyDescent="0.2">
      <c r="A4025" s="35" t="s">
        <v>60</v>
      </c>
      <c r="B4025" s="9" t="s">
        <v>195</v>
      </c>
      <c r="C4025" s="16">
        <v>594.5</v>
      </c>
      <c r="D4025" s="16">
        <f>E4025/C4025</f>
        <v>219.63343986543313</v>
      </c>
      <c r="E4025" s="19">
        <v>130572.08</v>
      </c>
    </row>
    <row r="4026" spans="1:6" ht="11.25" customHeight="1" x14ac:dyDescent="0.2">
      <c r="A4026" s="35" t="s">
        <v>62</v>
      </c>
      <c r="B4026" s="9" t="s">
        <v>196</v>
      </c>
      <c r="C4026" s="16">
        <v>188.6</v>
      </c>
      <c r="D4026" s="16">
        <f>E4026/C4026</f>
        <v>848.40127253446451</v>
      </c>
      <c r="E4026" s="19">
        <v>160008.48000000001</v>
      </c>
    </row>
    <row r="4027" spans="1:6" ht="11.25" customHeight="1" x14ac:dyDescent="0.2">
      <c r="A4027" s="35" t="s">
        <v>64</v>
      </c>
      <c r="B4027" s="9" t="s">
        <v>63</v>
      </c>
      <c r="C4027" s="16">
        <f>E4027/D4027</f>
        <v>71608.202925045713</v>
      </c>
      <c r="D4027" s="16">
        <v>5.47</v>
      </c>
      <c r="E4027" s="19">
        <f>399310-28363.54+20750.41</f>
        <v>391696.87</v>
      </c>
    </row>
    <row r="4028" spans="1:6" ht="11.25" customHeight="1" x14ac:dyDescent="0.2">
      <c r="A4028" s="35" t="s">
        <v>66</v>
      </c>
      <c r="B4028" s="9" t="s">
        <v>65</v>
      </c>
      <c r="C4028" s="16">
        <v>784.86</v>
      </c>
      <c r="D4028" s="16">
        <v>68.11</v>
      </c>
      <c r="E4028" s="19">
        <v>76185.63</v>
      </c>
    </row>
    <row r="4029" spans="1:6" ht="11.25" customHeight="1" x14ac:dyDescent="0.2">
      <c r="A4029" s="35" t="s">
        <v>68</v>
      </c>
      <c r="B4029" s="9" t="s">
        <v>69</v>
      </c>
      <c r="C4029" s="16">
        <v>851.5</v>
      </c>
      <c r="D4029" s="16">
        <f>E4029/C4029</f>
        <v>3.3499941280093952</v>
      </c>
      <c r="E4029" s="19">
        <v>2852.52</v>
      </c>
    </row>
    <row r="4030" spans="1:6" ht="11.25" customHeight="1" x14ac:dyDescent="0.2">
      <c r="A4030" s="35" t="s">
        <v>70</v>
      </c>
      <c r="B4030" s="9" t="s">
        <v>71</v>
      </c>
      <c r="C4030" s="16">
        <v>126.24</v>
      </c>
      <c r="D4030" s="16">
        <f>E4030/C4030</f>
        <v>188.03873574144487</v>
      </c>
      <c r="E4030" s="19">
        <v>23738.01</v>
      </c>
    </row>
    <row r="4031" spans="1:6" ht="20.100000000000001" customHeight="1" x14ac:dyDescent="0.2">
      <c r="A4031" s="5">
        <v>3</v>
      </c>
      <c r="B4031" s="6" t="s">
        <v>72</v>
      </c>
      <c r="C4031" s="16"/>
      <c r="D4031" s="16"/>
      <c r="E4031" s="17">
        <f>E4032+E4033+E4034+E4035+E4036+E4037+E4038+E4039+E4040+E4042+E4041</f>
        <v>721562.51964119927</v>
      </c>
    </row>
    <row r="4032" spans="1:6" ht="11.25" customHeight="1" x14ac:dyDescent="0.2">
      <c r="A4032" s="8" t="s">
        <v>73</v>
      </c>
      <c r="B4032" s="9" t="s">
        <v>74</v>
      </c>
      <c r="C4032" s="34">
        <v>6</v>
      </c>
      <c r="D4032" s="16">
        <f>E4032/C4032/12</f>
        <v>5082.4859722222218</v>
      </c>
      <c r="E4032" s="19">
        <v>365938.99</v>
      </c>
    </row>
    <row r="4033" spans="1:6" ht="11.25" customHeight="1" x14ac:dyDescent="0.2">
      <c r="A4033" s="8" t="s">
        <v>75</v>
      </c>
      <c r="B4033" s="9" t="s">
        <v>76</v>
      </c>
      <c r="C4033" s="16"/>
      <c r="D4033" s="16"/>
      <c r="E4033" s="19">
        <v>0</v>
      </c>
    </row>
    <row r="4034" spans="1:6" ht="11.25" customHeight="1" x14ac:dyDescent="0.2">
      <c r="A4034" s="8" t="s">
        <v>77</v>
      </c>
      <c r="B4034" s="9" t="s">
        <v>78</v>
      </c>
      <c r="C4034" s="34">
        <v>3</v>
      </c>
      <c r="D4034" s="16">
        <f>E4034/C4034/12</f>
        <v>4789.1977777777774</v>
      </c>
      <c r="E4034" s="19">
        <v>172411.12</v>
      </c>
    </row>
    <row r="4035" spans="1:6" ht="11.25" customHeight="1" x14ac:dyDescent="0.2">
      <c r="A4035" s="8" t="s">
        <v>79</v>
      </c>
      <c r="B4035" s="9" t="s">
        <v>80</v>
      </c>
      <c r="C4035" s="16">
        <v>9069.9</v>
      </c>
      <c r="D4035" s="16">
        <f>E4035/C4035</f>
        <v>4.1812754275129826</v>
      </c>
      <c r="E4035" s="19">
        <v>37923.75</v>
      </c>
    </row>
    <row r="4036" spans="1:6" ht="11.25" customHeight="1" x14ac:dyDescent="0.2">
      <c r="A4036" s="8" t="s">
        <v>81</v>
      </c>
      <c r="B4036" s="9" t="s">
        <v>82</v>
      </c>
      <c r="C4036" s="34">
        <v>314</v>
      </c>
      <c r="D4036" s="16">
        <f>E4036/C4036</f>
        <v>71.758980891719744</v>
      </c>
      <c r="E4036" s="19">
        <v>22532.32</v>
      </c>
    </row>
    <row r="4037" spans="1:6" ht="11.25" customHeight="1" x14ac:dyDescent="0.2">
      <c r="A4037" s="8" t="s">
        <v>83</v>
      </c>
      <c r="B4037" s="9" t="s">
        <v>194</v>
      </c>
      <c r="C4037" s="34">
        <v>157</v>
      </c>
      <c r="D4037" s="16">
        <f>E4037/C4037</f>
        <v>86.576114649681529</v>
      </c>
      <c r="E4037" s="19">
        <v>13592.45</v>
      </c>
    </row>
    <row r="4038" spans="1:6" ht="11.25" customHeight="1" x14ac:dyDescent="0.2">
      <c r="A4038" s="8" t="s">
        <v>85</v>
      </c>
      <c r="B4038" s="9" t="s">
        <v>86</v>
      </c>
      <c r="C4038" s="34"/>
      <c r="D4038" s="16"/>
      <c r="E4038" s="19">
        <v>0</v>
      </c>
    </row>
    <row r="4039" spans="1:6" ht="11.25" customHeight="1" x14ac:dyDescent="0.2">
      <c r="A4039" s="8" t="s">
        <v>87</v>
      </c>
      <c r="B4039" s="9" t="s">
        <v>88</v>
      </c>
      <c r="C4039" s="34">
        <v>157</v>
      </c>
      <c r="D4039" s="16">
        <v>522.46</v>
      </c>
      <c r="E4039" s="19">
        <v>92546.71</v>
      </c>
    </row>
    <row r="4040" spans="1:6" ht="11.25" customHeight="1" x14ac:dyDescent="0.2">
      <c r="A4040" s="8" t="s">
        <v>89</v>
      </c>
      <c r="B4040" s="9" t="s">
        <v>90</v>
      </c>
      <c r="C4040" s="16"/>
      <c r="D4040" s="16"/>
      <c r="E4040" s="19">
        <v>0</v>
      </c>
    </row>
    <row r="4041" spans="1:6" ht="11.25" customHeight="1" x14ac:dyDescent="0.2">
      <c r="A4041" s="8" t="s">
        <v>91</v>
      </c>
      <c r="B4041" s="9" t="s">
        <v>202</v>
      </c>
      <c r="C4041" s="34">
        <v>6</v>
      </c>
      <c r="D4041" s="16">
        <f>E4041/C4041</f>
        <v>2769.5299401998959</v>
      </c>
      <c r="E4041" s="19">
        <f>2826.16*6*1.2*0.81663515754</f>
        <v>16617.179641199375</v>
      </c>
    </row>
    <row r="4042" spans="1:6" ht="11.25" customHeight="1" x14ac:dyDescent="0.2">
      <c r="A4042" s="8" t="s">
        <v>203</v>
      </c>
      <c r="B4042" s="9" t="s">
        <v>92</v>
      </c>
      <c r="C4042" s="16"/>
      <c r="D4042" s="16"/>
      <c r="E4042" s="19">
        <v>0</v>
      </c>
    </row>
    <row r="4043" spans="1:6" ht="15" customHeight="1" x14ac:dyDescent="0.2">
      <c r="A4043" s="5">
        <v>4</v>
      </c>
      <c r="B4043" s="6" t="s">
        <v>193</v>
      </c>
      <c r="C4043" s="16"/>
      <c r="D4043" s="16"/>
      <c r="E4043" s="17">
        <f>F4044/1.08*0.08</f>
        <v>234124.35199999998</v>
      </c>
    </row>
    <row r="4044" spans="1:6" ht="18.75" customHeight="1" x14ac:dyDescent="0.2">
      <c r="A4044" s="10"/>
      <c r="B4044" s="11" t="s">
        <v>94</v>
      </c>
      <c r="C4044" s="21"/>
      <c r="D4044" s="21"/>
      <c r="E4044" s="17">
        <f>E4010+E4023+E4031+E4043</f>
        <v>3160678.7496411996</v>
      </c>
      <c r="F4044" s="25">
        <f>E3997*29.04*12</f>
        <v>3160678.7520000003</v>
      </c>
    </row>
    <row r="4045" spans="1:6" ht="16.5" customHeight="1" x14ac:dyDescent="0.25">
      <c r="A4045" s="10"/>
      <c r="B4045" s="11" t="s">
        <v>199</v>
      </c>
      <c r="C4045" s="21"/>
      <c r="D4045" s="21"/>
      <c r="E4045" s="22">
        <v>29.04</v>
      </c>
    </row>
    <row r="4046" spans="1:6" ht="10.95" customHeight="1" x14ac:dyDescent="0.2"/>
    <row r="4047" spans="1:6" ht="10.95" customHeight="1" x14ac:dyDescent="0.2"/>
    <row r="4048" spans="1:6" ht="15" customHeight="1" x14ac:dyDescent="0.25">
      <c r="B4048" s="12" t="s">
        <v>96</v>
      </c>
    </row>
    <row r="4049" spans="1:5" ht="12" customHeight="1" x14ac:dyDescent="0.2"/>
    <row r="4050" spans="1:5" ht="13.2" customHeight="1" x14ac:dyDescent="0.25">
      <c r="B4050" s="3" t="s">
        <v>97</v>
      </c>
    </row>
    <row r="4051" spans="1:5" ht="7.95" customHeight="1" x14ac:dyDescent="0.2"/>
    <row r="4052" spans="1:5" ht="12" customHeight="1" x14ac:dyDescent="0.25">
      <c r="B4052" s="41" t="s">
        <v>100</v>
      </c>
      <c r="C4052" s="41"/>
      <c r="D4052" s="41"/>
      <c r="E4052" s="41"/>
    </row>
    <row r="4053" spans="1:5" ht="10.95" customHeight="1" x14ac:dyDescent="0.2"/>
    <row r="4054" spans="1:5" ht="10.95" customHeight="1" x14ac:dyDescent="0.2"/>
    <row r="4055" spans="1:5" ht="10.95" customHeight="1" x14ac:dyDescent="0.2"/>
    <row r="4056" spans="1:5" ht="16.2" customHeight="1" x14ac:dyDescent="0.2">
      <c r="A4056" s="39" t="s">
        <v>0</v>
      </c>
      <c r="B4056" s="39"/>
      <c r="C4056" s="39"/>
      <c r="D4056" s="39"/>
      <c r="E4056" s="39"/>
    </row>
    <row r="4057" spans="1:5" ht="10.95" customHeight="1" x14ac:dyDescent="0.2">
      <c r="A4057" s="40" t="s">
        <v>1</v>
      </c>
      <c r="B4057" s="40"/>
      <c r="C4057" s="40"/>
      <c r="D4057" s="40"/>
      <c r="E4057" s="40"/>
    </row>
    <row r="4058" spans="1:5" ht="13.2" customHeight="1" x14ac:dyDescent="0.2">
      <c r="A4058" s="40" t="s">
        <v>198</v>
      </c>
      <c r="B4058" s="40"/>
      <c r="C4058" s="40"/>
      <c r="D4058" s="40"/>
      <c r="E4058" s="40"/>
    </row>
    <row r="4059" spans="1:5" ht="10.95" customHeight="1" x14ac:dyDescent="0.2"/>
    <row r="4060" spans="1:5" ht="10.95" customHeight="1" x14ac:dyDescent="0.2">
      <c r="C4060" s="42" t="s">
        <v>3</v>
      </c>
      <c r="D4060" s="42"/>
      <c r="E4060" s="42"/>
    </row>
    <row r="4061" spans="1:5" ht="12" customHeight="1" x14ac:dyDescent="0.2">
      <c r="D4061" s="26" t="s">
        <v>4</v>
      </c>
      <c r="E4061" s="24">
        <v>9138.2000000000007</v>
      </c>
    </row>
    <row r="4062" spans="1:5" ht="12" customHeight="1" x14ac:dyDescent="0.2">
      <c r="D4062" s="26" t="s">
        <v>5</v>
      </c>
      <c r="E4062" s="23">
        <v>70.900000000000006</v>
      </c>
    </row>
    <row r="4063" spans="1:5" ht="12" customHeight="1" x14ac:dyDescent="0.2">
      <c r="D4063" s="26" t="s">
        <v>6</v>
      </c>
      <c r="E4063" s="30">
        <v>3</v>
      </c>
    </row>
    <row r="4064" spans="1:5" ht="12" customHeight="1" x14ac:dyDescent="0.2">
      <c r="D4064" s="26" t="s">
        <v>7</v>
      </c>
      <c r="E4064" s="30">
        <v>16</v>
      </c>
    </row>
    <row r="4065" spans="1:6" ht="12" customHeight="1" x14ac:dyDescent="0.2">
      <c r="D4065" s="26" t="s">
        <v>8</v>
      </c>
      <c r="E4065" s="30">
        <v>157</v>
      </c>
    </row>
    <row r="4066" spans="1:6" ht="12" customHeight="1" x14ac:dyDescent="0.2">
      <c r="D4066" s="26" t="s">
        <v>9</v>
      </c>
      <c r="E4066" s="30">
        <v>388</v>
      </c>
    </row>
    <row r="4067" spans="1:6" ht="12" customHeight="1" x14ac:dyDescent="0.2">
      <c r="D4067" s="26" t="s">
        <v>10</v>
      </c>
      <c r="E4067" s="30">
        <v>6</v>
      </c>
    </row>
    <row r="4068" spans="1:6" ht="12" customHeight="1" x14ac:dyDescent="0.2">
      <c r="D4068" s="26" t="s">
        <v>11</v>
      </c>
      <c r="E4068" s="30">
        <v>3</v>
      </c>
    </row>
    <row r="4069" spans="1:6" ht="12" customHeight="1" x14ac:dyDescent="0.2">
      <c r="D4069" s="26" t="s">
        <v>12</v>
      </c>
      <c r="E4069" s="30">
        <v>0</v>
      </c>
    </row>
    <row r="4070" spans="1:6" ht="12" customHeight="1" x14ac:dyDescent="0.2">
      <c r="D4070" s="26" t="s">
        <v>13</v>
      </c>
      <c r="E4070" s="30">
        <v>1598</v>
      </c>
    </row>
    <row r="4071" spans="1:6" ht="12" customHeight="1" x14ac:dyDescent="0.25">
      <c r="A4071" s="2" t="s">
        <v>14</v>
      </c>
      <c r="B4071" s="3" t="s">
        <v>178</v>
      </c>
    </row>
    <row r="4072" spans="1:6" ht="10.95" customHeight="1" x14ac:dyDescent="0.2"/>
    <row r="4073" spans="1:6" ht="45" customHeight="1" x14ac:dyDescent="0.2">
      <c r="A4073" s="4" t="s">
        <v>15</v>
      </c>
      <c r="B4073" s="4" t="s">
        <v>131</v>
      </c>
      <c r="C4073" s="27" t="s">
        <v>17</v>
      </c>
      <c r="D4073" s="27" t="s">
        <v>103</v>
      </c>
      <c r="E4073" s="27" t="s">
        <v>19</v>
      </c>
    </row>
    <row r="4074" spans="1:6" ht="31.5" customHeight="1" x14ac:dyDescent="0.2">
      <c r="A4074" s="5">
        <v>1</v>
      </c>
      <c r="B4074" s="6" t="s">
        <v>190</v>
      </c>
      <c r="C4074" s="16"/>
      <c r="D4074" s="16"/>
      <c r="E4074" s="17">
        <f>E4075+E4082</f>
        <v>1328063.1120000002</v>
      </c>
    </row>
    <row r="4075" spans="1:6" ht="15" customHeight="1" x14ac:dyDescent="0.2">
      <c r="A4075" s="7" t="s">
        <v>21</v>
      </c>
      <c r="B4075" s="6" t="s">
        <v>132</v>
      </c>
      <c r="C4075" s="16"/>
      <c r="D4075" s="16"/>
      <c r="E4075" s="17">
        <f>SUM(E4076:E4081)</f>
        <v>748852.56599999999</v>
      </c>
    </row>
    <row r="4076" spans="1:6" ht="11.25" customHeight="1" x14ac:dyDescent="0.2">
      <c r="A4076" s="15" t="s">
        <v>23</v>
      </c>
      <c r="B4076" s="9" t="s">
        <v>34</v>
      </c>
      <c r="C4076" s="16">
        <v>1.48</v>
      </c>
      <c r="D4076" s="16">
        <v>18781</v>
      </c>
      <c r="E4076" s="19">
        <f>ROUND(C4076*D4076,2)*12</f>
        <v>333550.56</v>
      </c>
      <c r="F4076" s="20"/>
    </row>
    <row r="4077" spans="1:6" ht="11.25" customHeight="1" x14ac:dyDescent="0.2">
      <c r="A4077" s="8" t="s">
        <v>31</v>
      </c>
      <c r="B4077" s="9" t="s">
        <v>36</v>
      </c>
      <c r="C4077" s="16">
        <v>0.89</v>
      </c>
      <c r="D4077" s="16">
        <v>18781</v>
      </c>
      <c r="E4077" s="19">
        <f>ROUND(C4077*D4077,2)*12</f>
        <v>200581.08000000002</v>
      </c>
    </row>
    <row r="4078" spans="1:6" ht="11.25" customHeight="1" x14ac:dyDescent="0.2">
      <c r="A4078" s="8" t="s">
        <v>121</v>
      </c>
      <c r="B4078" s="9" t="s">
        <v>38</v>
      </c>
      <c r="C4078" s="16">
        <v>30.2</v>
      </c>
      <c r="D4078" s="16">
        <f>E4076</f>
        <v>333550.56</v>
      </c>
      <c r="E4078" s="19">
        <f>ROUND(C4078*D4078/100,2)</f>
        <v>100732.27</v>
      </c>
    </row>
    <row r="4079" spans="1:6" ht="11.25" customHeight="1" x14ac:dyDescent="0.2">
      <c r="A4079" s="8" t="s">
        <v>186</v>
      </c>
      <c r="B4079" s="9" t="s">
        <v>40</v>
      </c>
      <c r="C4079" s="16">
        <v>30.2</v>
      </c>
      <c r="D4079" s="16">
        <f>E4077</f>
        <v>200581.08000000002</v>
      </c>
      <c r="E4079" s="19">
        <f>ROUND(C4079*D4079/100,2)</f>
        <v>60575.49</v>
      </c>
    </row>
    <row r="4080" spans="1:6" ht="11.25" customHeight="1" x14ac:dyDescent="0.2">
      <c r="A4080" s="8" t="s">
        <v>187</v>
      </c>
      <c r="B4080" s="9" t="s">
        <v>42</v>
      </c>
      <c r="C4080" s="16"/>
      <c r="D4080" s="16"/>
      <c r="E4080" s="19">
        <f>E4076*0.1</f>
        <v>33355.056000000004</v>
      </c>
    </row>
    <row r="4081" spans="1:6" ht="11.25" customHeight="1" x14ac:dyDescent="0.2">
      <c r="A4081" s="8" t="s">
        <v>188</v>
      </c>
      <c r="B4081" s="9" t="s">
        <v>44</v>
      </c>
      <c r="C4081" s="16"/>
      <c r="D4081" s="16"/>
      <c r="E4081" s="19">
        <f>ROUND(E4077*0.1,2)</f>
        <v>20058.11</v>
      </c>
    </row>
    <row r="4082" spans="1:6" ht="15" customHeight="1" x14ac:dyDescent="0.2">
      <c r="A4082" s="7" t="s">
        <v>45</v>
      </c>
      <c r="B4082" s="6" t="s">
        <v>189</v>
      </c>
      <c r="C4082" s="16"/>
      <c r="D4082" s="16"/>
      <c r="E4082" s="17">
        <f>E4083+E4084+E4085+E4086</f>
        <v>579210.54600000009</v>
      </c>
    </row>
    <row r="4083" spans="1:6" ht="11.25" customHeight="1" x14ac:dyDescent="0.2">
      <c r="A4083" s="8" t="s">
        <v>47</v>
      </c>
      <c r="B4083" s="9" t="s">
        <v>48</v>
      </c>
      <c r="C4083" s="16">
        <v>1.51</v>
      </c>
      <c r="D4083" s="16">
        <v>18781</v>
      </c>
      <c r="E4083" s="19">
        <f>ROUND(C4083*D4083,2)*12</f>
        <v>340311.72000000003</v>
      </c>
      <c r="F4083" s="20"/>
    </row>
    <row r="4084" spans="1:6" ht="11.25" customHeight="1" x14ac:dyDescent="0.2">
      <c r="A4084" s="8" t="s">
        <v>49</v>
      </c>
      <c r="B4084" s="9" t="s">
        <v>50</v>
      </c>
      <c r="C4084" s="16">
        <v>30.2</v>
      </c>
      <c r="D4084" s="16">
        <f>E4083</f>
        <v>340311.72000000003</v>
      </c>
      <c r="E4084" s="19">
        <f>ROUND(C4084*D4084/100,2)</f>
        <v>102774.14</v>
      </c>
    </row>
    <row r="4085" spans="1:6" ht="11.25" customHeight="1" x14ac:dyDescent="0.2">
      <c r="A4085" s="8" t="s">
        <v>51</v>
      </c>
      <c r="B4085" s="9" t="s">
        <v>52</v>
      </c>
      <c r="C4085" s="16"/>
      <c r="D4085" s="16"/>
      <c r="E4085" s="19">
        <f>E4083*0.3</f>
        <v>102093.516</v>
      </c>
    </row>
    <row r="4086" spans="1:6" ht="11.25" customHeight="1" x14ac:dyDescent="0.2">
      <c r="A4086" s="8" t="s">
        <v>53</v>
      </c>
      <c r="B4086" s="9" t="s">
        <v>54</v>
      </c>
      <c r="C4086" s="16"/>
      <c r="D4086" s="16"/>
      <c r="E4086" s="19">
        <f>ROUND(E4083*0.1,2)</f>
        <v>34031.17</v>
      </c>
    </row>
    <row r="4087" spans="1:6" ht="20.100000000000001" customHeight="1" x14ac:dyDescent="0.2">
      <c r="A4087" s="5">
        <v>2</v>
      </c>
      <c r="B4087" s="6" t="s">
        <v>57</v>
      </c>
      <c r="C4087" s="16"/>
      <c r="D4087" s="16"/>
      <c r="E4087" s="17">
        <f>E4088+E4090+E4091+E4092+E4093+E4094+E4089</f>
        <v>839485.70000000007</v>
      </c>
    </row>
    <row r="4088" spans="1:6" ht="11.25" customHeight="1" x14ac:dyDescent="0.2">
      <c r="A4088" s="35" t="s">
        <v>58</v>
      </c>
      <c r="B4088" s="9" t="s">
        <v>204</v>
      </c>
      <c r="C4088" s="16">
        <v>562.6</v>
      </c>
      <c r="D4088" s="16">
        <f>E4088/C4088</f>
        <v>177.96999644507642</v>
      </c>
      <c r="E4088" s="19">
        <v>100125.92</v>
      </c>
    </row>
    <row r="4089" spans="1:6" ht="11.25" customHeight="1" x14ac:dyDescent="0.2">
      <c r="A4089" s="35" t="s">
        <v>60</v>
      </c>
      <c r="B4089" s="9" t="s">
        <v>195</v>
      </c>
      <c r="C4089" s="16">
        <v>562.6</v>
      </c>
      <c r="D4089" s="16">
        <f>E4089/C4089</f>
        <v>219.6334340561678</v>
      </c>
      <c r="E4089" s="19">
        <v>123565.77</v>
      </c>
    </row>
    <row r="4090" spans="1:6" ht="11.25" customHeight="1" x14ac:dyDescent="0.2">
      <c r="A4090" s="35" t="s">
        <v>62</v>
      </c>
      <c r="B4090" s="9" t="s">
        <v>196</v>
      </c>
      <c r="C4090" s="16">
        <v>178.48</v>
      </c>
      <c r="D4090" s="16">
        <f>E4090/C4090</f>
        <v>848.40122142536984</v>
      </c>
      <c r="E4090" s="19">
        <v>151422.65</v>
      </c>
    </row>
    <row r="4091" spans="1:6" ht="11.25" customHeight="1" x14ac:dyDescent="0.2">
      <c r="A4091" s="35" t="s">
        <v>64</v>
      </c>
      <c r="B4091" s="9" t="s">
        <v>63</v>
      </c>
      <c r="C4091" s="16">
        <f>E4091/D4091</f>
        <v>68871.890310786112</v>
      </c>
      <c r="D4091" s="16">
        <v>5.47</v>
      </c>
      <c r="E4091" s="19">
        <f>361020-5041.18+20750.42</f>
        <v>376729.24</v>
      </c>
    </row>
    <row r="4092" spans="1:6" ht="11.25" customHeight="1" x14ac:dyDescent="0.2">
      <c r="A4092" s="35" t="s">
        <v>66</v>
      </c>
      <c r="B4092" s="9" t="s">
        <v>65</v>
      </c>
      <c r="C4092" s="16">
        <f>E4092/D4092</f>
        <v>896.50521215680521</v>
      </c>
      <c r="D4092" s="16">
        <v>68.11</v>
      </c>
      <c r="E4092" s="19">
        <v>61060.97</v>
      </c>
    </row>
    <row r="4093" spans="1:6" ht="11.25" customHeight="1" x14ac:dyDescent="0.2">
      <c r="A4093" s="35" t="s">
        <v>68</v>
      </c>
      <c r="B4093" s="9" t="s">
        <v>69</v>
      </c>
      <c r="C4093" s="16">
        <v>848.7</v>
      </c>
      <c r="D4093" s="16">
        <f>E4093/C4093</f>
        <v>3.3499941086367384</v>
      </c>
      <c r="E4093" s="19">
        <v>2843.14</v>
      </c>
    </row>
    <row r="4094" spans="1:6" ht="11.25" customHeight="1" x14ac:dyDescent="0.2">
      <c r="A4094" s="35" t="s">
        <v>70</v>
      </c>
      <c r="B4094" s="9" t="s">
        <v>71</v>
      </c>
      <c r="C4094" s="16">
        <v>126.24</v>
      </c>
      <c r="D4094" s="16">
        <f>E4094/C4094</f>
        <v>188.03873574144487</v>
      </c>
      <c r="E4094" s="19">
        <v>23738.01</v>
      </c>
    </row>
    <row r="4095" spans="1:6" ht="20.100000000000001" customHeight="1" x14ac:dyDescent="0.2">
      <c r="A4095" s="5">
        <v>3</v>
      </c>
      <c r="B4095" s="6" t="s">
        <v>72</v>
      </c>
      <c r="C4095" s="16"/>
      <c r="D4095" s="16"/>
      <c r="E4095" s="17">
        <f>E4096+E4097+E4098+E4099+E4100+E4101+E4102+E4103+E4104+E4106+E4105</f>
        <v>727432.9496411992</v>
      </c>
    </row>
    <row r="4096" spans="1:6" ht="11.25" customHeight="1" x14ac:dyDescent="0.2">
      <c r="A4096" s="8" t="s">
        <v>73</v>
      </c>
      <c r="B4096" s="9" t="s">
        <v>74</v>
      </c>
      <c r="C4096" s="34">
        <v>6</v>
      </c>
      <c r="D4096" s="16">
        <f>E4096/C4096/12</f>
        <v>5153.1359722222214</v>
      </c>
      <c r="E4096" s="19">
        <v>371025.79</v>
      </c>
    </row>
    <row r="4097" spans="1:6" ht="11.25" customHeight="1" x14ac:dyDescent="0.2">
      <c r="A4097" s="8" t="s">
        <v>75</v>
      </c>
      <c r="B4097" s="9" t="s">
        <v>76</v>
      </c>
      <c r="C4097" s="16"/>
      <c r="D4097" s="16"/>
      <c r="E4097" s="19">
        <v>0</v>
      </c>
    </row>
    <row r="4098" spans="1:6" ht="11.25" customHeight="1" x14ac:dyDescent="0.2">
      <c r="A4098" s="8" t="s">
        <v>77</v>
      </c>
      <c r="B4098" s="9" t="s">
        <v>78</v>
      </c>
      <c r="C4098" s="34">
        <v>3</v>
      </c>
      <c r="D4098" s="16">
        <f>E4098/C4098/12</f>
        <v>4789.1977777777774</v>
      </c>
      <c r="E4098" s="19">
        <v>172411.12</v>
      </c>
    </row>
    <row r="4099" spans="1:6" ht="11.25" customHeight="1" x14ac:dyDescent="0.2">
      <c r="A4099" s="8" t="s">
        <v>79</v>
      </c>
      <c r="B4099" s="9" t="s">
        <v>80</v>
      </c>
      <c r="C4099" s="16">
        <v>9138.2000000000007</v>
      </c>
      <c r="D4099" s="16">
        <f>E4099/C4099</f>
        <v>4.1822678426823661</v>
      </c>
      <c r="E4099" s="19">
        <v>38218.400000000001</v>
      </c>
    </row>
    <row r="4100" spans="1:6" ht="11.25" customHeight="1" x14ac:dyDescent="0.2">
      <c r="A4100" s="8" t="s">
        <v>81</v>
      </c>
      <c r="B4100" s="9" t="s">
        <v>82</v>
      </c>
      <c r="C4100" s="34">
        <v>314</v>
      </c>
      <c r="D4100" s="16">
        <f>E4100/C4100</f>
        <v>71.758980891719744</v>
      </c>
      <c r="E4100" s="19">
        <v>22532.32</v>
      </c>
    </row>
    <row r="4101" spans="1:6" ht="11.25" customHeight="1" x14ac:dyDescent="0.2">
      <c r="A4101" s="8" t="s">
        <v>83</v>
      </c>
      <c r="B4101" s="9" t="s">
        <v>194</v>
      </c>
      <c r="C4101" s="34">
        <v>157</v>
      </c>
      <c r="D4101" s="16">
        <f>E4101/C4101</f>
        <v>86.576114649681529</v>
      </c>
      <c r="E4101" s="19">
        <v>13592.45</v>
      </c>
    </row>
    <row r="4102" spans="1:6" ht="11.25" customHeight="1" x14ac:dyDescent="0.2">
      <c r="A4102" s="8" t="s">
        <v>85</v>
      </c>
      <c r="B4102" s="9" t="s">
        <v>86</v>
      </c>
      <c r="C4102" s="34"/>
      <c r="D4102" s="16"/>
      <c r="E4102" s="19">
        <v>0</v>
      </c>
    </row>
    <row r="4103" spans="1:6" ht="11.25" customHeight="1" x14ac:dyDescent="0.2">
      <c r="A4103" s="8" t="s">
        <v>87</v>
      </c>
      <c r="B4103" s="9" t="s">
        <v>88</v>
      </c>
      <c r="C4103" s="34">
        <v>157</v>
      </c>
      <c r="D4103" s="16">
        <f>E4103/C4103</f>
        <v>592.58401273885352</v>
      </c>
      <c r="E4103" s="19">
        <v>93035.69</v>
      </c>
    </row>
    <row r="4104" spans="1:6" ht="11.25" customHeight="1" x14ac:dyDescent="0.2">
      <c r="A4104" s="8" t="s">
        <v>89</v>
      </c>
      <c r="B4104" s="9" t="s">
        <v>90</v>
      </c>
      <c r="C4104" s="16"/>
      <c r="D4104" s="16"/>
      <c r="E4104" s="19">
        <v>0</v>
      </c>
    </row>
    <row r="4105" spans="1:6" ht="11.25" customHeight="1" x14ac:dyDescent="0.2">
      <c r="A4105" s="8" t="s">
        <v>91</v>
      </c>
      <c r="B4105" s="9" t="s">
        <v>202</v>
      </c>
      <c r="C4105" s="34">
        <v>6</v>
      </c>
      <c r="D4105" s="16">
        <f>E4105/C4105</f>
        <v>2769.5299401998959</v>
      </c>
      <c r="E4105" s="19">
        <f>2826.16*6*1.2*0.81663515754</f>
        <v>16617.179641199375</v>
      </c>
    </row>
    <row r="4106" spans="1:6" ht="11.25" customHeight="1" x14ac:dyDescent="0.2">
      <c r="A4106" s="8" t="s">
        <v>203</v>
      </c>
      <c r="B4106" s="9" t="s">
        <v>92</v>
      </c>
      <c r="C4106" s="16"/>
      <c r="D4106" s="16"/>
      <c r="E4106" s="19">
        <v>0</v>
      </c>
    </row>
    <row r="4107" spans="1:6" ht="15" customHeight="1" x14ac:dyDescent="0.2">
      <c r="A4107" s="5">
        <v>4</v>
      </c>
      <c r="B4107" s="6" t="s">
        <v>193</v>
      </c>
      <c r="C4107" s="16"/>
      <c r="D4107" s="16"/>
      <c r="E4107" s="17">
        <f>F4108/1.1*0.1</f>
        <v>289498.17600000004</v>
      </c>
    </row>
    <row r="4108" spans="1:6" ht="18.75" customHeight="1" x14ac:dyDescent="0.2">
      <c r="A4108" s="10"/>
      <c r="B4108" s="11" t="s">
        <v>94</v>
      </c>
      <c r="C4108" s="21"/>
      <c r="D4108" s="21"/>
      <c r="E4108" s="17">
        <f>E4074+E4087+E4095+E4107</f>
        <v>3184479.9376411997</v>
      </c>
      <c r="F4108" s="25">
        <f>E4061*29.04*12</f>
        <v>3184479.9360000007</v>
      </c>
    </row>
    <row r="4109" spans="1:6" ht="15" customHeight="1" x14ac:dyDescent="0.25">
      <c r="A4109" s="10"/>
      <c r="B4109" s="11" t="s">
        <v>199</v>
      </c>
      <c r="C4109" s="21"/>
      <c r="D4109" s="21"/>
      <c r="E4109" s="22">
        <v>29.04</v>
      </c>
    </row>
    <row r="4110" spans="1:6" ht="10.95" customHeight="1" x14ac:dyDescent="0.2"/>
    <row r="4111" spans="1:6" ht="10.95" customHeight="1" x14ac:dyDescent="0.2"/>
    <row r="4112" spans="1:6" ht="10.95" customHeight="1" x14ac:dyDescent="0.2"/>
    <row r="4113" spans="1:5" ht="15" customHeight="1" x14ac:dyDescent="0.25">
      <c r="B4113" s="12" t="s">
        <v>96</v>
      </c>
    </row>
    <row r="4114" spans="1:5" ht="12" customHeight="1" x14ac:dyDescent="0.2"/>
    <row r="4115" spans="1:5" ht="13.2" customHeight="1" x14ac:dyDescent="0.25">
      <c r="B4115" s="3" t="s">
        <v>97</v>
      </c>
    </row>
    <row r="4116" spans="1:5" ht="7.95" customHeight="1" x14ac:dyDescent="0.2"/>
    <row r="4117" spans="1:5" ht="12" customHeight="1" x14ac:dyDescent="0.25">
      <c r="B4117" s="41" t="s">
        <v>100</v>
      </c>
      <c r="C4117" s="41"/>
      <c r="D4117" s="41"/>
      <c r="E4117" s="41"/>
    </row>
    <row r="4118" spans="1:5" ht="10.95" customHeight="1" x14ac:dyDescent="0.2"/>
    <row r="4119" spans="1:5" ht="10.95" customHeight="1" x14ac:dyDescent="0.2"/>
    <row r="4120" spans="1:5" ht="10.95" customHeight="1" x14ac:dyDescent="0.2"/>
    <row r="4121" spans="1:5" ht="16.2" customHeight="1" x14ac:dyDescent="0.2">
      <c r="A4121" s="39" t="s">
        <v>0</v>
      </c>
      <c r="B4121" s="39"/>
      <c r="C4121" s="39"/>
      <c r="D4121" s="39"/>
      <c r="E4121" s="39"/>
    </row>
    <row r="4122" spans="1:5" ht="10.95" customHeight="1" x14ac:dyDescent="0.2">
      <c r="A4122" s="40" t="s">
        <v>1</v>
      </c>
      <c r="B4122" s="40"/>
      <c r="C4122" s="40"/>
      <c r="D4122" s="40"/>
      <c r="E4122" s="40"/>
    </row>
    <row r="4123" spans="1:5" ht="13.2" customHeight="1" x14ac:dyDescent="0.2">
      <c r="A4123" s="40" t="s">
        <v>198</v>
      </c>
      <c r="B4123" s="40"/>
      <c r="C4123" s="40"/>
      <c r="D4123" s="40"/>
      <c r="E4123" s="40"/>
    </row>
    <row r="4124" spans="1:5" ht="10.95" customHeight="1" x14ac:dyDescent="0.2"/>
    <row r="4125" spans="1:5" ht="10.95" customHeight="1" x14ac:dyDescent="0.2">
      <c r="C4125" s="42" t="s">
        <v>3</v>
      </c>
      <c r="D4125" s="42"/>
      <c r="E4125" s="42"/>
    </row>
    <row r="4126" spans="1:5" ht="12" customHeight="1" x14ac:dyDescent="0.2">
      <c r="D4126" s="26" t="s">
        <v>4</v>
      </c>
      <c r="E4126" s="24">
        <v>11080.1</v>
      </c>
    </row>
    <row r="4127" spans="1:5" ht="12" customHeight="1" x14ac:dyDescent="0.2">
      <c r="D4127" s="26" t="s">
        <v>5</v>
      </c>
      <c r="E4127" s="23">
        <v>522.29999999999995</v>
      </c>
    </row>
    <row r="4128" spans="1:5" ht="12" customHeight="1" x14ac:dyDescent="0.2">
      <c r="D4128" s="26" t="s">
        <v>6</v>
      </c>
      <c r="E4128" s="30">
        <v>2</v>
      </c>
    </row>
    <row r="4129" spans="1:6" ht="12" customHeight="1" x14ac:dyDescent="0.2">
      <c r="D4129" s="26" t="s">
        <v>7</v>
      </c>
      <c r="E4129" s="30">
        <v>22</v>
      </c>
    </row>
    <row r="4130" spans="1:6" ht="12" customHeight="1" x14ac:dyDescent="0.2">
      <c r="D4130" s="26" t="s">
        <v>8</v>
      </c>
      <c r="E4130" s="30">
        <v>168</v>
      </c>
    </row>
    <row r="4131" spans="1:6" ht="12" customHeight="1" x14ac:dyDescent="0.2">
      <c r="D4131" s="26" t="s">
        <v>9</v>
      </c>
      <c r="E4131" s="30">
        <v>372</v>
      </c>
    </row>
    <row r="4132" spans="1:6" ht="12" customHeight="1" x14ac:dyDescent="0.2">
      <c r="D4132" s="26" t="s">
        <v>10</v>
      </c>
      <c r="E4132" s="30">
        <v>6</v>
      </c>
    </row>
    <row r="4133" spans="1:6" ht="12" customHeight="1" x14ac:dyDescent="0.2">
      <c r="D4133" s="26" t="s">
        <v>11</v>
      </c>
      <c r="E4133" s="30">
        <v>2</v>
      </c>
    </row>
    <row r="4134" spans="1:6" ht="12" customHeight="1" x14ac:dyDescent="0.2">
      <c r="D4134" s="26" t="s">
        <v>12</v>
      </c>
      <c r="E4134" s="30">
        <v>0</v>
      </c>
    </row>
    <row r="4135" spans="1:6" ht="12" customHeight="1" x14ac:dyDescent="0.2">
      <c r="D4135" s="26" t="s">
        <v>13</v>
      </c>
      <c r="E4135" s="30">
        <v>2498</v>
      </c>
    </row>
    <row r="4136" spans="1:6" ht="12" customHeight="1" x14ac:dyDescent="0.25">
      <c r="A4136" s="2" t="s">
        <v>14</v>
      </c>
      <c r="B4136" s="3" t="s">
        <v>134</v>
      </c>
    </row>
    <row r="4137" spans="1:6" ht="10.95" customHeight="1" x14ac:dyDescent="0.2"/>
    <row r="4138" spans="1:6" ht="45" customHeight="1" x14ac:dyDescent="0.2">
      <c r="A4138" s="4" t="s">
        <v>15</v>
      </c>
      <c r="B4138" s="4" t="s">
        <v>131</v>
      </c>
      <c r="C4138" s="27" t="s">
        <v>17</v>
      </c>
      <c r="D4138" s="27" t="s">
        <v>103</v>
      </c>
      <c r="E4138" s="27" t="s">
        <v>19</v>
      </c>
    </row>
    <row r="4139" spans="1:6" ht="31.5" customHeight="1" x14ac:dyDescent="0.2">
      <c r="A4139" s="5">
        <v>1</v>
      </c>
      <c r="B4139" s="6" t="s">
        <v>190</v>
      </c>
      <c r="C4139" s="16"/>
      <c r="D4139" s="16"/>
      <c r="E4139" s="17">
        <f>E4140+E4147</f>
        <v>1668546.1060000001</v>
      </c>
    </row>
    <row r="4140" spans="1:6" ht="15" customHeight="1" x14ac:dyDescent="0.2">
      <c r="A4140" s="7" t="s">
        <v>21</v>
      </c>
      <c r="B4140" s="6" t="s">
        <v>132</v>
      </c>
      <c r="C4140" s="16"/>
      <c r="D4140" s="16"/>
      <c r="E4140" s="17">
        <f>SUM(E4141:E4146)</f>
        <v>886685.56599999999</v>
      </c>
    </row>
    <row r="4141" spans="1:6" ht="11.25" customHeight="1" x14ac:dyDescent="0.2">
      <c r="A4141" s="15" t="s">
        <v>23</v>
      </c>
      <c r="B4141" s="9" t="s">
        <v>34</v>
      </c>
      <c r="C4141" s="16">
        <v>2.06</v>
      </c>
      <c r="D4141" s="16">
        <v>18781</v>
      </c>
      <c r="E4141" s="19">
        <f>ROUND(C4141*D4141,2)*12</f>
        <v>464266.32</v>
      </c>
      <c r="F4141" s="20"/>
    </row>
    <row r="4142" spans="1:6" ht="11.25" customHeight="1" x14ac:dyDescent="0.2">
      <c r="A4142" s="8" t="s">
        <v>31</v>
      </c>
      <c r="B4142" s="9" t="s">
        <v>36</v>
      </c>
      <c r="C4142" s="16">
        <v>0.85</v>
      </c>
      <c r="D4142" s="16">
        <v>18781</v>
      </c>
      <c r="E4142" s="19">
        <f>ROUND(C4142*D4142,2)*12</f>
        <v>191566.2</v>
      </c>
    </row>
    <row r="4143" spans="1:6" ht="11.25" customHeight="1" x14ac:dyDescent="0.2">
      <c r="A4143" s="8" t="s">
        <v>121</v>
      </c>
      <c r="B4143" s="9" t="s">
        <v>38</v>
      </c>
      <c r="C4143" s="16">
        <v>30.2</v>
      </c>
      <c r="D4143" s="16">
        <f>E4141</f>
        <v>464266.32</v>
      </c>
      <c r="E4143" s="19">
        <f>ROUND(C4143*D4143/100,2)</f>
        <v>140208.43</v>
      </c>
    </row>
    <row r="4144" spans="1:6" ht="11.25" customHeight="1" x14ac:dyDescent="0.2">
      <c r="A4144" s="8" t="s">
        <v>186</v>
      </c>
      <c r="B4144" s="9" t="s">
        <v>40</v>
      </c>
      <c r="C4144" s="16">
        <v>30.2</v>
      </c>
      <c r="D4144" s="16">
        <f>E4142</f>
        <v>191566.2</v>
      </c>
      <c r="E4144" s="19">
        <f>ROUND(C4144*D4144/100,2)</f>
        <v>57852.99</v>
      </c>
    </row>
    <row r="4145" spans="1:6" ht="11.25" customHeight="1" x14ac:dyDescent="0.2">
      <c r="A4145" s="8" t="s">
        <v>187</v>
      </c>
      <c r="B4145" s="9" t="s">
        <v>42</v>
      </c>
      <c r="C4145" s="16"/>
      <c r="D4145" s="16"/>
      <c r="E4145" s="19">
        <f>E4141*0.05</f>
        <v>23213.316000000003</v>
      </c>
    </row>
    <row r="4146" spans="1:6" ht="11.25" customHeight="1" x14ac:dyDescent="0.2">
      <c r="A4146" s="8" t="s">
        <v>188</v>
      </c>
      <c r="B4146" s="9" t="s">
        <v>44</v>
      </c>
      <c r="C4146" s="16"/>
      <c r="D4146" s="16"/>
      <c r="E4146" s="19">
        <f>ROUND(E4142*0.05,2)</f>
        <v>9578.31</v>
      </c>
    </row>
    <row r="4147" spans="1:6" ht="15" customHeight="1" x14ac:dyDescent="0.2">
      <c r="A4147" s="7" t="s">
        <v>45</v>
      </c>
      <c r="B4147" s="6" t="s">
        <v>189</v>
      </c>
      <c r="C4147" s="16"/>
      <c r="D4147" s="16"/>
      <c r="E4147" s="17">
        <f>E4148+E4149+E4150+E4151</f>
        <v>781860.54</v>
      </c>
    </row>
    <row r="4148" spans="1:6" ht="11.25" customHeight="1" x14ac:dyDescent="0.2">
      <c r="A4148" s="8" t="s">
        <v>47</v>
      </c>
      <c r="B4148" s="9" t="s">
        <v>48</v>
      </c>
      <c r="C4148" s="16">
        <v>2.1</v>
      </c>
      <c r="D4148" s="16">
        <v>18781</v>
      </c>
      <c r="E4148" s="19">
        <f>ROUND(C4148*D4148,2)*12</f>
        <v>473281.19999999995</v>
      </c>
      <c r="F4148" s="20"/>
    </row>
    <row r="4149" spans="1:6" ht="11.25" customHeight="1" x14ac:dyDescent="0.2">
      <c r="A4149" s="8" t="s">
        <v>49</v>
      </c>
      <c r="B4149" s="9" t="s">
        <v>50</v>
      </c>
      <c r="C4149" s="16">
        <v>30.2</v>
      </c>
      <c r="D4149" s="16">
        <f>E4148</f>
        <v>473281.19999999995</v>
      </c>
      <c r="E4149" s="19">
        <f>ROUND(C4149*D4149/100,2)</f>
        <v>142930.92000000001</v>
      </c>
    </row>
    <row r="4150" spans="1:6" ht="11.25" customHeight="1" x14ac:dyDescent="0.2">
      <c r="A4150" s="8" t="s">
        <v>51</v>
      </c>
      <c r="B4150" s="9" t="s">
        <v>52</v>
      </c>
      <c r="C4150" s="16"/>
      <c r="D4150" s="16"/>
      <c r="E4150" s="19">
        <f>E4148*0.3</f>
        <v>141984.35999999999</v>
      </c>
    </row>
    <row r="4151" spans="1:6" ht="11.25" customHeight="1" x14ac:dyDescent="0.2">
      <c r="A4151" s="8" t="s">
        <v>53</v>
      </c>
      <c r="B4151" s="9" t="s">
        <v>54</v>
      </c>
      <c r="C4151" s="16"/>
      <c r="D4151" s="16"/>
      <c r="E4151" s="19">
        <f>E4148*0.05</f>
        <v>23664.059999999998</v>
      </c>
    </row>
    <row r="4152" spans="1:6" ht="20.100000000000001" customHeight="1" x14ac:dyDescent="0.2">
      <c r="A4152" s="5">
        <v>2</v>
      </c>
      <c r="B4152" s="6" t="s">
        <v>57</v>
      </c>
      <c r="C4152" s="16"/>
      <c r="D4152" s="16"/>
      <c r="E4152" s="17">
        <f>E4153+E4155+E4156+E4157+E4158+E4159+E4154</f>
        <v>927394.62000000011</v>
      </c>
    </row>
    <row r="4153" spans="1:6" ht="11.25" customHeight="1" x14ac:dyDescent="0.2">
      <c r="A4153" s="35" t="s">
        <v>58</v>
      </c>
      <c r="B4153" s="9" t="s">
        <v>204</v>
      </c>
      <c r="C4153" s="16">
        <v>539.4</v>
      </c>
      <c r="D4153" s="16">
        <f>E4153/C4153</f>
        <v>177.97000370782354</v>
      </c>
      <c r="E4153" s="19">
        <v>95997.02</v>
      </c>
    </row>
    <row r="4154" spans="1:6" ht="11.25" customHeight="1" x14ac:dyDescent="0.2">
      <c r="A4154" s="35" t="s">
        <v>60</v>
      </c>
      <c r="B4154" s="9" t="s">
        <v>195</v>
      </c>
      <c r="C4154" s="16">
        <v>539.4</v>
      </c>
      <c r="D4154" s="16">
        <f>E4154/C4154</f>
        <v>219.63342602892104</v>
      </c>
      <c r="E4154" s="19">
        <v>118470.27</v>
      </c>
    </row>
    <row r="4155" spans="1:6" ht="11.25" customHeight="1" x14ac:dyDescent="0.2">
      <c r="A4155" s="35" t="s">
        <v>62</v>
      </c>
      <c r="B4155" s="9" t="s">
        <v>196</v>
      </c>
      <c r="C4155" s="16">
        <v>171.12</v>
      </c>
      <c r="D4155" s="16">
        <f>E4155/C4155</f>
        <v>848.40123889668075</v>
      </c>
      <c r="E4155" s="19">
        <v>145178.42000000001</v>
      </c>
    </row>
    <row r="4156" spans="1:6" ht="11.25" customHeight="1" x14ac:dyDescent="0.2">
      <c r="A4156" s="35" t="s">
        <v>64</v>
      </c>
      <c r="B4156" s="9" t="s">
        <v>63</v>
      </c>
      <c r="C4156" s="16">
        <f>E4156/D4156</f>
        <v>105950.37528604119</v>
      </c>
      <c r="D4156" s="16">
        <v>4.37</v>
      </c>
      <c r="E4156" s="19">
        <f>445740-3453.74+20716.88</f>
        <v>463003.14</v>
      </c>
    </row>
    <row r="4157" spans="1:6" ht="11.25" customHeight="1" x14ac:dyDescent="0.2">
      <c r="A4157" s="35" t="s">
        <v>66</v>
      </c>
      <c r="B4157" s="9" t="s">
        <v>65</v>
      </c>
      <c r="C4157" s="16">
        <f>E4157/D4157</f>
        <v>1181.295257671414</v>
      </c>
      <c r="D4157" s="16">
        <v>68.11</v>
      </c>
      <c r="E4157" s="19">
        <v>80458.02</v>
      </c>
    </row>
    <row r="4158" spans="1:6" ht="11.25" customHeight="1" x14ac:dyDescent="0.2">
      <c r="A4158" s="35" t="s">
        <v>68</v>
      </c>
      <c r="B4158" s="9" t="s">
        <v>69</v>
      </c>
      <c r="C4158" s="16">
        <v>754.6</v>
      </c>
      <c r="D4158" s="16">
        <f>E4158/C4158</f>
        <v>3.3499999999999996</v>
      </c>
      <c r="E4158" s="19">
        <v>2527.91</v>
      </c>
    </row>
    <row r="4159" spans="1:6" ht="11.25" customHeight="1" x14ac:dyDescent="0.2">
      <c r="A4159" s="35" t="s">
        <v>70</v>
      </c>
      <c r="B4159" s="9" t="s">
        <v>71</v>
      </c>
      <c r="C4159" s="16">
        <v>115.72</v>
      </c>
      <c r="D4159" s="16">
        <f>E4159/C4159</f>
        <v>188.03871413757346</v>
      </c>
      <c r="E4159" s="19">
        <v>21759.84</v>
      </c>
    </row>
    <row r="4160" spans="1:6" ht="20.100000000000001" customHeight="1" x14ac:dyDescent="0.2">
      <c r="A4160" s="5">
        <v>3</v>
      </c>
      <c r="B4160" s="6" t="s">
        <v>72</v>
      </c>
      <c r="C4160" s="16"/>
      <c r="D4160" s="16"/>
      <c r="E4160" s="17">
        <f>E4161+E4162+E4163+E4164+E4165+E4166+E4167+E4168+E4169+E4171+E4170</f>
        <v>914234.94964119943</v>
      </c>
    </row>
    <row r="4161" spans="1:6" ht="11.25" customHeight="1" x14ac:dyDescent="0.2">
      <c r="A4161" s="8" t="s">
        <v>73</v>
      </c>
      <c r="B4161" s="9" t="s">
        <v>74</v>
      </c>
      <c r="C4161" s="34">
        <v>6</v>
      </c>
      <c r="D4161" s="16">
        <f>E4161/C4161/12</f>
        <v>7045.2959722222222</v>
      </c>
      <c r="E4161" s="19">
        <v>507261.31</v>
      </c>
    </row>
    <row r="4162" spans="1:6" ht="11.25" customHeight="1" x14ac:dyDescent="0.2">
      <c r="A4162" s="8" t="s">
        <v>75</v>
      </c>
      <c r="B4162" s="9" t="s">
        <v>76</v>
      </c>
      <c r="C4162" s="34">
        <v>168</v>
      </c>
      <c r="D4162" s="16">
        <f>E4162/C4162</f>
        <v>199.16023809523807</v>
      </c>
      <c r="E4162" s="19">
        <v>33458.92</v>
      </c>
    </row>
    <row r="4163" spans="1:6" ht="11.25" customHeight="1" x14ac:dyDescent="0.2">
      <c r="A4163" s="8" t="s">
        <v>77</v>
      </c>
      <c r="B4163" s="9" t="s">
        <v>78</v>
      </c>
      <c r="C4163" s="34">
        <v>2</v>
      </c>
      <c r="D4163" s="16">
        <f>E4163/2/12</f>
        <v>8949.2962499999994</v>
      </c>
      <c r="E4163" s="19">
        <v>214783.11</v>
      </c>
    </row>
    <row r="4164" spans="1:6" ht="11.25" customHeight="1" x14ac:dyDescent="0.2">
      <c r="A4164" s="8" t="s">
        <v>79</v>
      </c>
      <c r="B4164" s="9" t="s">
        <v>80</v>
      </c>
      <c r="C4164" s="16">
        <v>11080.1</v>
      </c>
      <c r="D4164" s="16">
        <f>E4164/C4164</f>
        <v>4.3456972409996304</v>
      </c>
      <c r="E4164" s="19">
        <v>48150.76</v>
      </c>
    </row>
    <row r="4165" spans="1:6" ht="11.25" customHeight="1" x14ac:dyDescent="0.2">
      <c r="A4165" s="8" t="s">
        <v>81</v>
      </c>
      <c r="B4165" s="9" t="s">
        <v>82</v>
      </c>
      <c r="C4165" s="34">
        <v>336</v>
      </c>
      <c r="D4165" s="16">
        <f>E4165/C4165</f>
        <v>70.386577380952374</v>
      </c>
      <c r="E4165" s="19">
        <v>23649.89</v>
      </c>
    </row>
    <row r="4166" spans="1:6" ht="11.25" customHeight="1" x14ac:dyDescent="0.2">
      <c r="A4166" s="8" t="s">
        <v>83</v>
      </c>
      <c r="B4166" s="9" t="s">
        <v>194</v>
      </c>
      <c r="C4166" s="34">
        <v>168</v>
      </c>
      <c r="D4166" s="16">
        <f>E4166/C4166</f>
        <v>86.858690476190475</v>
      </c>
      <c r="E4166" s="19">
        <v>14592.26</v>
      </c>
    </row>
    <row r="4167" spans="1:6" ht="11.25" customHeight="1" x14ac:dyDescent="0.2">
      <c r="A4167" s="8" t="s">
        <v>85</v>
      </c>
      <c r="B4167" s="9" t="s">
        <v>86</v>
      </c>
      <c r="C4167" s="16">
        <v>0.5</v>
      </c>
      <c r="D4167" s="16">
        <f>E4167/C4167</f>
        <v>19206.259999999998</v>
      </c>
      <c r="E4167" s="19">
        <v>9603.1299999999992</v>
      </c>
    </row>
    <row r="4168" spans="1:6" ht="11.25" customHeight="1" x14ac:dyDescent="0.2">
      <c r="A4168" s="8" t="s">
        <v>87</v>
      </c>
      <c r="B4168" s="9" t="s">
        <v>88</v>
      </c>
      <c r="C4168" s="16"/>
      <c r="D4168" s="16"/>
      <c r="E4168" s="19">
        <v>0</v>
      </c>
    </row>
    <row r="4169" spans="1:6" ht="11.25" customHeight="1" x14ac:dyDescent="0.2">
      <c r="A4169" s="8" t="s">
        <v>89</v>
      </c>
      <c r="B4169" s="9" t="s">
        <v>90</v>
      </c>
      <c r="C4169" s="34">
        <v>168</v>
      </c>
      <c r="D4169" s="16">
        <f>E4169/C4169</f>
        <v>274.51422619047617</v>
      </c>
      <c r="E4169" s="19">
        <v>46118.39</v>
      </c>
    </row>
    <row r="4170" spans="1:6" ht="11.25" customHeight="1" x14ac:dyDescent="0.2">
      <c r="A4170" s="8" t="s">
        <v>91</v>
      </c>
      <c r="B4170" s="9" t="s">
        <v>202</v>
      </c>
      <c r="C4170" s="34">
        <v>6</v>
      </c>
      <c r="D4170" s="16">
        <f>E4170/C4170</f>
        <v>2769.5299401998959</v>
      </c>
      <c r="E4170" s="19">
        <f>2826.16*6*1.2*0.81663515754</f>
        <v>16617.179641199375</v>
      </c>
    </row>
    <row r="4171" spans="1:6" ht="11.25" customHeight="1" x14ac:dyDescent="0.2">
      <c r="A4171" s="8" t="s">
        <v>203</v>
      </c>
      <c r="B4171" s="9" t="s">
        <v>92</v>
      </c>
      <c r="C4171" s="16"/>
      <c r="D4171" s="16"/>
      <c r="E4171" s="19">
        <v>0</v>
      </c>
    </row>
    <row r="4172" spans="1:6" ht="15" customHeight="1" x14ac:dyDescent="0.2">
      <c r="A4172" s="5">
        <v>4</v>
      </c>
      <c r="B4172" s="6" t="s">
        <v>193</v>
      </c>
      <c r="C4172" s="16"/>
      <c r="D4172" s="16"/>
      <c r="E4172" s="17">
        <f>ROUND(F4173/1.1*0.1,2)</f>
        <v>351017.57</v>
      </c>
    </row>
    <row r="4173" spans="1:6" ht="18.75" customHeight="1" x14ac:dyDescent="0.2">
      <c r="A4173" s="10"/>
      <c r="B4173" s="11" t="s">
        <v>94</v>
      </c>
      <c r="C4173" s="21"/>
      <c r="D4173" s="21"/>
      <c r="E4173" s="17">
        <f>E4139+E4152+E4160+E4172</f>
        <v>3861193.2456411994</v>
      </c>
      <c r="F4173" s="25">
        <f>E4126*29.04*12</f>
        <v>3861193.2479999997</v>
      </c>
    </row>
    <row r="4174" spans="1:6" ht="15" customHeight="1" x14ac:dyDescent="0.25">
      <c r="A4174" s="10"/>
      <c r="B4174" s="11" t="s">
        <v>199</v>
      </c>
      <c r="C4174" s="21"/>
      <c r="D4174" s="21"/>
      <c r="E4174" s="22">
        <v>29.04</v>
      </c>
    </row>
    <row r="4175" spans="1:6" ht="10.95" customHeight="1" x14ac:dyDescent="0.2"/>
    <row r="4176" spans="1:6" ht="10.95" customHeight="1" x14ac:dyDescent="0.2"/>
    <row r="4177" spans="1:5" ht="10.95" customHeight="1" x14ac:dyDescent="0.2"/>
    <row r="4178" spans="1:5" ht="15" customHeight="1" x14ac:dyDescent="0.25">
      <c r="B4178" s="12" t="s">
        <v>96</v>
      </c>
    </row>
    <row r="4179" spans="1:5" ht="12" customHeight="1" x14ac:dyDescent="0.2"/>
    <row r="4180" spans="1:5" ht="13.2" customHeight="1" x14ac:dyDescent="0.25">
      <c r="B4180" s="3" t="s">
        <v>97</v>
      </c>
    </row>
    <row r="4181" spans="1:5" ht="7.95" customHeight="1" x14ac:dyDescent="0.2"/>
    <row r="4182" spans="1:5" ht="12" customHeight="1" x14ac:dyDescent="0.25">
      <c r="B4182" s="41" t="s">
        <v>100</v>
      </c>
      <c r="C4182" s="41"/>
      <c r="D4182" s="41"/>
      <c r="E4182" s="41"/>
    </row>
    <row r="4183" spans="1:5" ht="10.95" customHeight="1" x14ac:dyDescent="0.2"/>
    <row r="4184" spans="1:5" ht="10.95" customHeight="1" x14ac:dyDescent="0.2"/>
    <row r="4185" spans="1:5" ht="10.95" customHeight="1" x14ac:dyDescent="0.2"/>
    <row r="4186" spans="1:5" ht="16.2" customHeight="1" x14ac:dyDescent="0.2">
      <c r="A4186" s="39" t="s">
        <v>0</v>
      </c>
      <c r="B4186" s="39"/>
      <c r="C4186" s="39"/>
      <c r="D4186" s="39"/>
      <c r="E4186" s="39"/>
    </row>
    <row r="4187" spans="1:5" ht="10.95" customHeight="1" x14ac:dyDescent="0.2">
      <c r="A4187" s="40" t="s">
        <v>1</v>
      </c>
      <c r="B4187" s="40"/>
      <c r="C4187" s="40"/>
      <c r="D4187" s="40"/>
      <c r="E4187" s="40"/>
    </row>
    <row r="4188" spans="1:5" ht="13.2" customHeight="1" x14ac:dyDescent="0.2">
      <c r="A4188" s="40" t="s">
        <v>198</v>
      </c>
      <c r="B4188" s="40"/>
      <c r="C4188" s="40"/>
      <c r="D4188" s="40"/>
      <c r="E4188" s="40"/>
    </row>
    <row r="4189" spans="1:5" ht="10.95" customHeight="1" x14ac:dyDescent="0.2"/>
    <row r="4190" spans="1:5" ht="10.95" customHeight="1" x14ac:dyDescent="0.2">
      <c r="C4190" s="42" t="s">
        <v>3</v>
      </c>
      <c r="D4190" s="42"/>
      <c r="E4190" s="42"/>
    </row>
    <row r="4191" spans="1:5" ht="12" customHeight="1" x14ac:dyDescent="0.2">
      <c r="D4191" s="26" t="s">
        <v>4</v>
      </c>
      <c r="E4191" s="24">
        <v>11014.7</v>
      </c>
    </row>
    <row r="4192" spans="1:5" ht="12" customHeight="1" x14ac:dyDescent="0.2">
      <c r="D4192" s="26" t="s">
        <v>5</v>
      </c>
      <c r="E4192" s="23">
        <v>88.5</v>
      </c>
    </row>
    <row r="4193" spans="1:6" ht="12" customHeight="1" x14ac:dyDescent="0.2">
      <c r="D4193" s="26" t="s">
        <v>6</v>
      </c>
      <c r="E4193" s="30">
        <v>6</v>
      </c>
    </row>
    <row r="4194" spans="1:6" ht="12" customHeight="1" x14ac:dyDescent="0.2">
      <c r="D4194" s="26" t="s">
        <v>7</v>
      </c>
      <c r="E4194" s="30">
        <v>9</v>
      </c>
    </row>
    <row r="4195" spans="1:6" ht="12" customHeight="1" x14ac:dyDescent="0.2">
      <c r="D4195" s="26" t="s">
        <v>8</v>
      </c>
      <c r="E4195" s="30">
        <v>214</v>
      </c>
    </row>
    <row r="4196" spans="1:6" ht="12" customHeight="1" x14ac:dyDescent="0.2">
      <c r="D4196" s="26" t="s">
        <v>9</v>
      </c>
      <c r="E4196" s="30">
        <v>746</v>
      </c>
    </row>
    <row r="4197" spans="1:6" ht="12" customHeight="1" x14ac:dyDescent="0.2">
      <c r="D4197" s="26" t="s">
        <v>10</v>
      </c>
      <c r="E4197" s="30">
        <v>6</v>
      </c>
    </row>
    <row r="4198" spans="1:6" ht="12" customHeight="1" x14ac:dyDescent="0.2">
      <c r="D4198" s="26" t="s">
        <v>11</v>
      </c>
      <c r="E4198" s="30">
        <v>0</v>
      </c>
    </row>
    <row r="4199" spans="1:6" ht="12" customHeight="1" x14ac:dyDescent="0.2">
      <c r="D4199" s="26" t="s">
        <v>12</v>
      </c>
      <c r="E4199" s="30">
        <v>0</v>
      </c>
    </row>
    <row r="4200" spans="1:6" ht="12" customHeight="1" x14ac:dyDescent="0.2">
      <c r="D4200" s="26" t="s">
        <v>13</v>
      </c>
      <c r="E4200" s="30">
        <v>1318</v>
      </c>
    </row>
    <row r="4201" spans="1:6" ht="12" customHeight="1" x14ac:dyDescent="0.25">
      <c r="A4201" s="2" t="s">
        <v>14</v>
      </c>
      <c r="B4201" s="3" t="s">
        <v>179</v>
      </c>
    </row>
    <row r="4202" spans="1:6" ht="10.95" customHeight="1" x14ac:dyDescent="0.2"/>
    <row r="4203" spans="1:6" ht="45" customHeight="1" x14ac:dyDescent="0.2">
      <c r="A4203" s="4" t="s">
        <v>15</v>
      </c>
      <c r="B4203" s="4" t="s">
        <v>131</v>
      </c>
      <c r="C4203" s="27" t="s">
        <v>17</v>
      </c>
      <c r="D4203" s="27" t="s">
        <v>103</v>
      </c>
      <c r="E4203" s="27" t="s">
        <v>19</v>
      </c>
    </row>
    <row r="4204" spans="1:6" ht="31.5" customHeight="1" x14ac:dyDescent="0.2">
      <c r="A4204" s="5">
        <v>1</v>
      </c>
      <c r="B4204" s="6" t="s">
        <v>190</v>
      </c>
      <c r="C4204" s="16"/>
      <c r="D4204" s="16"/>
      <c r="E4204" s="17">
        <f>E4205+E4212</f>
        <v>1716974.05</v>
      </c>
    </row>
    <row r="4205" spans="1:6" ht="15" customHeight="1" x14ac:dyDescent="0.2">
      <c r="A4205" s="7" t="s">
        <v>21</v>
      </c>
      <c r="B4205" s="6" t="s">
        <v>132</v>
      </c>
      <c r="C4205" s="16"/>
      <c r="D4205" s="16"/>
      <c r="E4205" s="17">
        <f>SUM(E4206:E4211)</f>
        <v>987237.54399999999</v>
      </c>
    </row>
    <row r="4206" spans="1:6" ht="11.25" customHeight="1" x14ac:dyDescent="0.2">
      <c r="A4206" s="15" t="s">
        <v>23</v>
      </c>
      <c r="B4206" s="9" t="s">
        <v>34</v>
      </c>
      <c r="C4206" s="16">
        <v>1.5</v>
      </c>
      <c r="D4206" s="16">
        <v>18781</v>
      </c>
      <c r="E4206" s="19">
        <f>ROUND(C4206*D4206,2)*12</f>
        <v>338058</v>
      </c>
      <c r="F4206" s="20"/>
    </row>
    <row r="4207" spans="1:6" ht="11.25" customHeight="1" x14ac:dyDescent="0.2">
      <c r="A4207" s="8" t="s">
        <v>31</v>
      </c>
      <c r="B4207" s="9" t="s">
        <v>36</v>
      </c>
      <c r="C4207" s="16">
        <v>1.74</v>
      </c>
      <c r="D4207" s="16">
        <v>18781</v>
      </c>
      <c r="E4207" s="19">
        <f>ROUND(C4207*D4207,2)*12</f>
        <v>392147.27999999997</v>
      </c>
    </row>
    <row r="4208" spans="1:6" ht="11.25" customHeight="1" x14ac:dyDescent="0.2">
      <c r="A4208" s="8" t="s">
        <v>121</v>
      </c>
      <c r="B4208" s="9" t="s">
        <v>38</v>
      </c>
      <c r="C4208" s="16">
        <v>30.2</v>
      </c>
      <c r="D4208" s="16">
        <f>E4206</f>
        <v>338058</v>
      </c>
      <c r="E4208" s="19">
        <f>ROUND(C4208*D4208/100,2)</f>
        <v>102093.52</v>
      </c>
    </row>
    <row r="4209" spans="1:6" ht="11.25" customHeight="1" x14ac:dyDescent="0.2">
      <c r="A4209" s="8" t="s">
        <v>186</v>
      </c>
      <c r="B4209" s="9" t="s">
        <v>40</v>
      </c>
      <c r="C4209" s="16">
        <v>30.2</v>
      </c>
      <c r="D4209" s="16">
        <f>E4207</f>
        <v>392147.27999999997</v>
      </c>
      <c r="E4209" s="19">
        <f>ROUND(C4209*D4209/100,2)</f>
        <v>118428.48</v>
      </c>
    </row>
    <row r="4210" spans="1:6" ht="11.25" customHeight="1" x14ac:dyDescent="0.2">
      <c r="A4210" s="8" t="s">
        <v>187</v>
      </c>
      <c r="B4210" s="9" t="s">
        <v>42</v>
      </c>
      <c r="C4210" s="16"/>
      <c r="D4210" s="16"/>
      <c r="E4210" s="19">
        <f>E4206*0.05</f>
        <v>16902.900000000001</v>
      </c>
    </row>
    <row r="4211" spans="1:6" ht="11.25" customHeight="1" x14ac:dyDescent="0.2">
      <c r="A4211" s="8" t="s">
        <v>188</v>
      </c>
      <c r="B4211" s="9" t="s">
        <v>44</v>
      </c>
      <c r="C4211" s="16"/>
      <c r="D4211" s="16"/>
      <c r="E4211" s="19">
        <f>E4207*0.05</f>
        <v>19607.363999999998</v>
      </c>
    </row>
    <row r="4212" spans="1:6" ht="15" customHeight="1" x14ac:dyDescent="0.2">
      <c r="A4212" s="7" t="s">
        <v>45</v>
      </c>
      <c r="B4212" s="6" t="s">
        <v>189</v>
      </c>
      <c r="C4212" s="16"/>
      <c r="D4212" s="16"/>
      <c r="E4212" s="17">
        <f>E4213+E4214+E4215+E4216</f>
        <v>729736.50600000005</v>
      </c>
    </row>
    <row r="4213" spans="1:6" ht="11.25" customHeight="1" x14ac:dyDescent="0.2">
      <c r="A4213" s="8" t="s">
        <v>47</v>
      </c>
      <c r="B4213" s="9" t="s">
        <v>48</v>
      </c>
      <c r="C4213" s="16">
        <v>1.96</v>
      </c>
      <c r="D4213" s="16">
        <v>18781</v>
      </c>
      <c r="E4213" s="19">
        <f>ROUND(C4213*D4213,2)*12</f>
        <v>441729.12</v>
      </c>
      <c r="F4213" s="20"/>
    </row>
    <row r="4214" spans="1:6" ht="11.25" customHeight="1" x14ac:dyDescent="0.2">
      <c r="A4214" s="8" t="s">
        <v>49</v>
      </c>
      <c r="B4214" s="9" t="s">
        <v>50</v>
      </c>
      <c r="C4214" s="16">
        <v>30.2</v>
      </c>
      <c r="D4214" s="16">
        <f>E4213</f>
        <v>441729.12</v>
      </c>
      <c r="E4214" s="19">
        <f>ROUND(C4214*D4214/100,2)</f>
        <v>133402.19</v>
      </c>
    </row>
    <row r="4215" spans="1:6" ht="11.25" customHeight="1" x14ac:dyDescent="0.2">
      <c r="A4215" s="8" t="s">
        <v>51</v>
      </c>
      <c r="B4215" s="9" t="s">
        <v>52</v>
      </c>
      <c r="C4215" s="16"/>
      <c r="D4215" s="16"/>
      <c r="E4215" s="19">
        <f>ROUND(E4213*0.3,2)</f>
        <v>132518.74</v>
      </c>
    </row>
    <row r="4216" spans="1:6" ht="11.25" customHeight="1" x14ac:dyDescent="0.2">
      <c r="A4216" s="8" t="s">
        <v>53</v>
      </c>
      <c r="B4216" s="9" t="s">
        <v>54</v>
      </c>
      <c r="C4216" s="16"/>
      <c r="D4216" s="16"/>
      <c r="E4216" s="19">
        <f>E4213*0.05</f>
        <v>22086.456000000002</v>
      </c>
    </row>
    <row r="4217" spans="1:6" ht="20.100000000000001" customHeight="1" x14ac:dyDescent="0.2">
      <c r="A4217" s="5">
        <v>2</v>
      </c>
      <c r="B4217" s="6" t="s">
        <v>57</v>
      </c>
      <c r="C4217" s="16"/>
      <c r="D4217" s="16"/>
      <c r="E4217" s="17">
        <f>E4218+E4220+E4221+E4222+E4223+E4224+E4219</f>
        <v>1318600.3</v>
      </c>
    </row>
    <row r="4218" spans="1:6" ht="11.25" customHeight="1" x14ac:dyDescent="0.2">
      <c r="A4218" s="35" t="s">
        <v>58</v>
      </c>
      <c r="B4218" s="9" t="s">
        <v>204</v>
      </c>
      <c r="C4218" s="16">
        <v>1081.7</v>
      </c>
      <c r="D4218" s="16">
        <f>E4218/C4218</f>
        <v>177.97000092447072</v>
      </c>
      <c r="E4218" s="19">
        <v>192510.15</v>
      </c>
    </row>
    <row r="4219" spans="1:6" ht="11.25" customHeight="1" x14ac:dyDescent="0.2">
      <c r="A4219" s="35" t="s">
        <v>60</v>
      </c>
      <c r="B4219" s="9" t="s">
        <v>195</v>
      </c>
      <c r="C4219" s="16">
        <v>1081.7</v>
      </c>
      <c r="D4219" s="16">
        <f>E4219/C4219</f>
        <v>219.63343810668391</v>
      </c>
      <c r="E4219" s="19">
        <v>237577.49</v>
      </c>
    </row>
    <row r="4220" spans="1:6" ht="11.25" customHeight="1" x14ac:dyDescent="0.2">
      <c r="A4220" s="35" t="s">
        <v>62</v>
      </c>
      <c r="B4220" s="9" t="s">
        <v>196</v>
      </c>
      <c r="C4220" s="16">
        <v>343.16</v>
      </c>
      <c r="D4220" s="16">
        <f>E4220/C4220</f>
        <v>848.40124140342687</v>
      </c>
      <c r="E4220" s="19">
        <v>291137.37</v>
      </c>
    </row>
    <row r="4221" spans="1:6" ht="11.25" customHeight="1" x14ac:dyDescent="0.2">
      <c r="A4221" s="35" t="s">
        <v>64</v>
      </c>
      <c r="B4221" s="9" t="s">
        <v>63</v>
      </c>
      <c r="C4221" s="16">
        <f>E4221/D4221</f>
        <v>77961.879341864711</v>
      </c>
      <c r="D4221" s="16">
        <v>5.47</v>
      </c>
      <c r="E4221" s="19">
        <f>437600-11148.52</f>
        <v>426451.48</v>
      </c>
    </row>
    <row r="4222" spans="1:6" ht="11.25" customHeight="1" x14ac:dyDescent="0.2">
      <c r="A4222" s="35" t="s">
        <v>66</v>
      </c>
      <c r="B4222" s="9" t="s">
        <v>65</v>
      </c>
      <c r="C4222" s="16">
        <f>E4222/D4222</f>
        <v>2036.7966524739393</v>
      </c>
      <c r="D4222" s="16">
        <v>68.11</v>
      </c>
      <c r="E4222" s="19">
        <f>117925.53+20800.69</f>
        <v>138726.22</v>
      </c>
    </row>
    <row r="4223" spans="1:6" ht="11.25" customHeight="1" x14ac:dyDescent="0.2">
      <c r="A4223" s="35" t="s">
        <v>68</v>
      </c>
      <c r="B4223" s="9" t="s">
        <v>69</v>
      </c>
      <c r="C4223" s="16">
        <v>1639.5</v>
      </c>
      <c r="D4223" s="16">
        <f>E4223/C4223</f>
        <v>3.3499969502897224</v>
      </c>
      <c r="E4223" s="19">
        <v>5492.32</v>
      </c>
    </row>
    <row r="4224" spans="1:6" ht="11.25" customHeight="1" x14ac:dyDescent="0.2">
      <c r="A4224" s="35" t="s">
        <v>70</v>
      </c>
      <c r="B4224" s="9" t="s">
        <v>71</v>
      </c>
      <c r="C4224" s="16">
        <v>142.02000000000001</v>
      </c>
      <c r="D4224" s="16">
        <f>E4224/C4224</f>
        <v>188.03879735248555</v>
      </c>
      <c r="E4224" s="19">
        <v>26705.27</v>
      </c>
    </row>
    <row r="4225" spans="1:6" ht="20.100000000000001" customHeight="1" x14ac:dyDescent="0.2">
      <c r="A4225" s="5">
        <v>3</v>
      </c>
      <c r="B4225" s="6" t="s">
        <v>72</v>
      </c>
      <c r="C4225" s="16"/>
      <c r="D4225" s="16"/>
      <c r="E4225" s="17">
        <f>E4226+E4227+E4228+E4229+E4230+E4231+E4232+E4233+E4234+E4236+E4235</f>
        <v>453882.60582059971</v>
      </c>
    </row>
    <row r="4226" spans="1:6" ht="11.25" customHeight="1" x14ac:dyDescent="0.2">
      <c r="A4226" s="8" t="s">
        <v>73</v>
      </c>
      <c r="B4226" s="9" t="s">
        <v>74</v>
      </c>
      <c r="C4226" s="34">
        <v>6</v>
      </c>
      <c r="D4226" s="16">
        <f>E4226/C4226/12</f>
        <v>3192.7319444444443</v>
      </c>
      <c r="E4226" s="19">
        <v>229876.7</v>
      </c>
    </row>
    <row r="4227" spans="1:6" ht="11.25" customHeight="1" x14ac:dyDescent="0.2">
      <c r="A4227" s="8" t="s">
        <v>75</v>
      </c>
      <c r="B4227" s="9" t="s">
        <v>76</v>
      </c>
      <c r="C4227" s="16"/>
      <c r="D4227" s="16"/>
      <c r="E4227" s="19">
        <v>0</v>
      </c>
    </row>
    <row r="4228" spans="1:6" ht="11.25" customHeight="1" x14ac:dyDescent="0.2">
      <c r="A4228" s="8" t="s">
        <v>77</v>
      </c>
      <c r="B4228" s="9" t="s">
        <v>78</v>
      </c>
      <c r="C4228" s="16"/>
      <c r="D4228" s="16"/>
      <c r="E4228" s="19">
        <v>0</v>
      </c>
    </row>
    <row r="4229" spans="1:6" ht="11.25" customHeight="1" x14ac:dyDescent="0.2">
      <c r="A4229" s="8" t="s">
        <v>79</v>
      </c>
      <c r="B4229" s="9" t="s">
        <v>80</v>
      </c>
      <c r="C4229" s="16">
        <v>11014.7</v>
      </c>
      <c r="D4229" s="16">
        <f>E4229/C4229</f>
        <v>4.1834139831316328</v>
      </c>
      <c r="E4229" s="19">
        <v>46079.05</v>
      </c>
    </row>
    <row r="4230" spans="1:6" ht="11.25" customHeight="1" x14ac:dyDescent="0.2">
      <c r="A4230" s="8" t="s">
        <v>81</v>
      </c>
      <c r="B4230" s="9" t="s">
        <v>82</v>
      </c>
      <c r="C4230" s="34">
        <v>428</v>
      </c>
      <c r="D4230" s="16">
        <f>E4230/C4230</f>
        <v>71.73803738317757</v>
      </c>
      <c r="E4230" s="19">
        <v>30703.88</v>
      </c>
    </row>
    <row r="4231" spans="1:6" ht="11.25" customHeight="1" x14ac:dyDescent="0.2">
      <c r="A4231" s="8" t="s">
        <v>83</v>
      </c>
      <c r="B4231" s="9" t="s">
        <v>194</v>
      </c>
      <c r="C4231" s="34">
        <v>214</v>
      </c>
      <c r="D4231" s="16">
        <f>E4231/C4231</f>
        <v>85.923598130841128</v>
      </c>
      <c r="E4231" s="19">
        <v>18387.650000000001</v>
      </c>
    </row>
    <row r="4232" spans="1:6" ht="11.25" customHeight="1" x14ac:dyDescent="0.2">
      <c r="A4232" s="8" t="s">
        <v>85</v>
      </c>
      <c r="B4232" s="9" t="s">
        <v>86</v>
      </c>
      <c r="C4232" s="34"/>
      <c r="D4232" s="16"/>
      <c r="E4232" s="19">
        <v>0</v>
      </c>
    </row>
    <row r="4233" spans="1:6" ht="11.25" customHeight="1" x14ac:dyDescent="0.2">
      <c r="A4233" s="8" t="s">
        <v>87</v>
      </c>
      <c r="B4233" s="9" t="s">
        <v>88</v>
      </c>
      <c r="C4233" s="34">
        <v>214</v>
      </c>
      <c r="D4233" s="16">
        <f>E4233/C4233</f>
        <v>543.32448598130838</v>
      </c>
      <c r="E4233" s="19">
        <v>116271.44</v>
      </c>
    </row>
    <row r="4234" spans="1:6" ht="11.25" customHeight="1" x14ac:dyDescent="0.2">
      <c r="A4234" s="8" t="s">
        <v>89</v>
      </c>
      <c r="B4234" s="9" t="s">
        <v>90</v>
      </c>
      <c r="C4234" s="16"/>
      <c r="D4234" s="16"/>
      <c r="E4234" s="19">
        <v>0</v>
      </c>
    </row>
    <row r="4235" spans="1:6" ht="11.25" customHeight="1" x14ac:dyDescent="0.2">
      <c r="A4235" s="8" t="s">
        <v>91</v>
      </c>
      <c r="B4235" s="9" t="s">
        <v>202</v>
      </c>
      <c r="C4235" s="34">
        <v>6</v>
      </c>
      <c r="D4235" s="16">
        <f>E4235/C4235</f>
        <v>2093.9809700999481</v>
      </c>
      <c r="E4235" s="19">
        <f>1773.04*2*1.2+2826.16*3*1.2*0.81663515754</f>
        <v>12563.885820599688</v>
      </c>
    </row>
    <row r="4236" spans="1:6" ht="11.25" customHeight="1" x14ac:dyDescent="0.2">
      <c r="A4236" s="8" t="s">
        <v>203</v>
      </c>
      <c r="B4236" s="9" t="s">
        <v>92</v>
      </c>
      <c r="C4236" s="16"/>
      <c r="D4236" s="16"/>
      <c r="E4236" s="19">
        <v>0</v>
      </c>
    </row>
    <row r="4237" spans="1:6" ht="15" customHeight="1" x14ac:dyDescent="0.2">
      <c r="A4237" s="5">
        <v>4</v>
      </c>
      <c r="B4237" s="6" t="s">
        <v>193</v>
      </c>
      <c r="C4237" s="16"/>
      <c r="D4237" s="16"/>
      <c r="E4237" s="17">
        <f>F4238/1.1*0.1</f>
        <v>348945.696</v>
      </c>
    </row>
    <row r="4238" spans="1:6" ht="18.75" customHeight="1" x14ac:dyDescent="0.2">
      <c r="A4238" s="10"/>
      <c r="B4238" s="11" t="s">
        <v>94</v>
      </c>
      <c r="C4238" s="21"/>
      <c r="D4238" s="21"/>
      <c r="E4238" s="17">
        <f>E4204+E4217+E4225+E4237</f>
        <v>3838402.6518205996</v>
      </c>
      <c r="F4238" s="25">
        <f>E4191*29.04*12</f>
        <v>3838402.6560000004</v>
      </c>
    </row>
    <row r="4239" spans="1:6" ht="15" customHeight="1" x14ac:dyDescent="0.25">
      <c r="A4239" s="10"/>
      <c r="B4239" s="11" t="s">
        <v>199</v>
      </c>
      <c r="C4239" s="21"/>
      <c r="D4239" s="21"/>
      <c r="E4239" s="22">
        <v>29.04</v>
      </c>
    </row>
    <row r="4240" spans="1:6" ht="10.95" customHeight="1" x14ac:dyDescent="0.2"/>
    <row r="4241" spans="1:5" ht="10.95" customHeight="1" x14ac:dyDescent="0.2"/>
    <row r="4242" spans="1:5" ht="10.95" customHeight="1" x14ac:dyDescent="0.2"/>
    <row r="4243" spans="1:5" ht="15" customHeight="1" x14ac:dyDescent="0.25">
      <c r="B4243" s="12" t="s">
        <v>96</v>
      </c>
    </row>
    <row r="4244" spans="1:5" ht="12" customHeight="1" x14ac:dyDescent="0.2"/>
    <row r="4245" spans="1:5" ht="13.2" customHeight="1" x14ac:dyDescent="0.25">
      <c r="B4245" s="3" t="s">
        <v>97</v>
      </c>
    </row>
    <row r="4246" spans="1:5" ht="7.95" customHeight="1" x14ac:dyDescent="0.2"/>
    <row r="4247" spans="1:5" ht="12" customHeight="1" x14ac:dyDescent="0.25">
      <c r="B4247" s="41" t="s">
        <v>100</v>
      </c>
      <c r="C4247" s="41"/>
      <c r="D4247" s="41"/>
      <c r="E4247" s="41"/>
    </row>
    <row r="4248" spans="1:5" ht="10.95" customHeight="1" x14ac:dyDescent="0.2"/>
    <row r="4249" spans="1:5" ht="10.95" customHeight="1" x14ac:dyDescent="0.2"/>
    <row r="4250" spans="1:5" ht="10.95" customHeight="1" x14ac:dyDescent="0.2"/>
    <row r="4251" spans="1:5" ht="16.2" customHeight="1" x14ac:dyDescent="0.2">
      <c r="A4251" s="39" t="s">
        <v>0</v>
      </c>
      <c r="B4251" s="39"/>
      <c r="C4251" s="39"/>
      <c r="D4251" s="39"/>
      <c r="E4251" s="39"/>
    </row>
    <row r="4252" spans="1:5" ht="10.95" customHeight="1" x14ac:dyDescent="0.2">
      <c r="A4252" s="40" t="s">
        <v>1</v>
      </c>
      <c r="B4252" s="40"/>
      <c r="C4252" s="40"/>
      <c r="D4252" s="40"/>
      <c r="E4252" s="40"/>
    </row>
    <row r="4253" spans="1:5" ht="13.2" customHeight="1" x14ac:dyDescent="0.2">
      <c r="A4253" s="40" t="s">
        <v>198</v>
      </c>
      <c r="B4253" s="40"/>
      <c r="C4253" s="40"/>
      <c r="D4253" s="40"/>
      <c r="E4253" s="40"/>
    </row>
    <row r="4254" spans="1:5" ht="10.95" customHeight="1" x14ac:dyDescent="0.2"/>
    <row r="4255" spans="1:5" ht="10.95" customHeight="1" x14ac:dyDescent="0.2">
      <c r="C4255" s="42" t="s">
        <v>3</v>
      </c>
      <c r="D4255" s="42"/>
      <c r="E4255" s="42"/>
    </row>
    <row r="4256" spans="1:5" ht="12" customHeight="1" x14ac:dyDescent="0.2">
      <c r="D4256" s="26" t="s">
        <v>4</v>
      </c>
      <c r="E4256" s="24">
        <v>6255</v>
      </c>
    </row>
    <row r="4257" spans="1:6" ht="12" customHeight="1" x14ac:dyDescent="0.2">
      <c r="D4257" s="26" t="s">
        <v>5</v>
      </c>
      <c r="E4257" s="23">
        <v>0</v>
      </c>
    </row>
    <row r="4258" spans="1:6" ht="12" customHeight="1" x14ac:dyDescent="0.2">
      <c r="D4258" s="26" t="s">
        <v>6</v>
      </c>
      <c r="E4258" s="30">
        <v>4</v>
      </c>
    </row>
    <row r="4259" spans="1:6" ht="12" customHeight="1" x14ac:dyDescent="0.2">
      <c r="D4259" s="26" t="s">
        <v>7</v>
      </c>
      <c r="E4259" s="30">
        <v>9</v>
      </c>
    </row>
    <row r="4260" spans="1:6" ht="12" customHeight="1" x14ac:dyDescent="0.2">
      <c r="D4260" s="26" t="s">
        <v>8</v>
      </c>
      <c r="E4260" s="30">
        <v>142</v>
      </c>
    </row>
    <row r="4261" spans="1:6" ht="12" customHeight="1" x14ac:dyDescent="0.2">
      <c r="D4261" s="26" t="s">
        <v>9</v>
      </c>
      <c r="E4261" s="30">
        <v>317</v>
      </c>
    </row>
    <row r="4262" spans="1:6" ht="12" customHeight="1" x14ac:dyDescent="0.2">
      <c r="D4262" s="26" t="s">
        <v>10</v>
      </c>
      <c r="E4262" s="30">
        <v>4</v>
      </c>
    </row>
    <row r="4263" spans="1:6" ht="12" customHeight="1" x14ac:dyDescent="0.2">
      <c r="D4263" s="26" t="s">
        <v>11</v>
      </c>
      <c r="E4263" s="30">
        <v>0</v>
      </c>
    </row>
    <row r="4264" spans="1:6" ht="12" customHeight="1" x14ac:dyDescent="0.2">
      <c r="D4264" s="26" t="s">
        <v>12</v>
      </c>
      <c r="E4264" s="30">
        <v>0</v>
      </c>
    </row>
    <row r="4265" spans="1:6" ht="12" customHeight="1" x14ac:dyDescent="0.2">
      <c r="D4265" s="26" t="s">
        <v>13</v>
      </c>
      <c r="E4265" s="30">
        <v>798</v>
      </c>
    </row>
    <row r="4266" spans="1:6" ht="12" customHeight="1" x14ac:dyDescent="0.25">
      <c r="A4266" s="2" t="s">
        <v>14</v>
      </c>
      <c r="B4266" s="3" t="s">
        <v>180</v>
      </c>
    </row>
    <row r="4267" spans="1:6" ht="10.95" customHeight="1" x14ac:dyDescent="0.2"/>
    <row r="4268" spans="1:6" ht="45" customHeight="1" x14ac:dyDescent="0.2">
      <c r="A4268" s="4" t="s">
        <v>15</v>
      </c>
      <c r="B4268" s="4" t="s">
        <v>131</v>
      </c>
      <c r="C4268" s="27" t="s">
        <v>17</v>
      </c>
      <c r="D4268" s="27" t="s">
        <v>103</v>
      </c>
      <c r="E4268" s="27" t="s">
        <v>19</v>
      </c>
    </row>
    <row r="4269" spans="1:6" ht="31.5" customHeight="1" x14ac:dyDescent="0.2">
      <c r="A4269" s="5">
        <v>1</v>
      </c>
      <c r="B4269" s="6" t="s">
        <v>190</v>
      </c>
      <c r="C4269" s="16"/>
      <c r="D4269" s="16"/>
      <c r="E4269" s="17">
        <f>E4270+E4277</f>
        <v>1095754.152</v>
      </c>
    </row>
    <row r="4270" spans="1:6" ht="15" customHeight="1" x14ac:dyDescent="0.2">
      <c r="A4270" s="7" t="s">
        <v>21</v>
      </c>
      <c r="B4270" s="6" t="s">
        <v>132</v>
      </c>
      <c r="C4270" s="16"/>
      <c r="D4270" s="16"/>
      <c r="E4270" s="17">
        <f>SUM(E4271:E4276)</f>
        <v>521353.04200000002</v>
      </c>
    </row>
    <row r="4271" spans="1:6" ht="11.25" customHeight="1" x14ac:dyDescent="0.2">
      <c r="A4271" s="15" t="s">
        <v>23</v>
      </c>
      <c r="B4271" s="9" t="s">
        <v>34</v>
      </c>
      <c r="C4271" s="16">
        <v>0.91</v>
      </c>
      <c r="D4271" s="16">
        <v>18781</v>
      </c>
      <c r="E4271" s="19">
        <f>ROUND(C4271*D4271,2)*12</f>
        <v>205088.52</v>
      </c>
      <c r="F4271" s="20"/>
    </row>
    <row r="4272" spans="1:6" ht="11.25" customHeight="1" x14ac:dyDescent="0.2">
      <c r="A4272" s="8" t="s">
        <v>31</v>
      </c>
      <c r="B4272" s="9" t="s">
        <v>36</v>
      </c>
      <c r="C4272" s="16">
        <v>0.74</v>
      </c>
      <c r="D4272" s="16">
        <v>18781</v>
      </c>
      <c r="E4272" s="19">
        <f>ROUND(C4272*D4272,2)*12</f>
        <v>166775.28</v>
      </c>
    </row>
    <row r="4273" spans="1:6" ht="11.25" customHeight="1" x14ac:dyDescent="0.2">
      <c r="A4273" s="8" t="s">
        <v>121</v>
      </c>
      <c r="B4273" s="9" t="s">
        <v>38</v>
      </c>
      <c r="C4273" s="16">
        <v>30.2</v>
      </c>
      <c r="D4273" s="16">
        <f>E4271</f>
        <v>205088.52</v>
      </c>
      <c r="E4273" s="19">
        <f>ROUND(C4273*D4273/100,2)</f>
        <v>61936.73</v>
      </c>
    </row>
    <row r="4274" spans="1:6" ht="11.25" customHeight="1" x14ac:dyDescent="0.2">
      <c r="A4274" s="8" t="s">
        <v>186</v>
      </c>
      <c r="B4274" s="9" t="s">
        <v>40</v>
      </c>
      <c r="C4274" s="16">
        <v>30.2</v>
      </c>
      <c r="D4274" s="16">
        <f>E4272</f>
        <v>166775.28</v>
      </c>
      <c r="E4274" s="19">
        <f>ROUND(C4274*D4274/100,2)</f>
        <v>50366.13</v>
      </c>
    </row>
    <row r="4275" spans="1:6" ht="11.25" customHeight="1" x14ac:dyDescent="0.2">
      <c r="A4275" s="8" t="s">
        <v>187</v>
      </c>
      <c r="B4275" s="9" t="s">
        <v>42</v>
      </c>
      <c r="C4275" s="16"/>
      <c r="D4275" s="16"/>
      <c r="E4275" s="19">
        <f>E4271*0.1</f>
        <v>20508.851999999999</v>
      </c>
    </row>
    <row r="4276" spans="1:6" ht="11.25" customHeight="1" x14ac:dyDescent="0.2">
      <c r="A4276" s="8" t="s">
        <v>188</v>
      </c>
      <c r="B4276" s="9" t="s">
        <v>44</v>
      </c>
      <c r="C4276" s="16"/>
      <c r="D4276" s="16"/>
      <c r="E4276" s="19">
        <f>ROUND(E4272*0.1,2)</f>
        <v>16677.53</v>
      </c>
    </row>
    <row r="4277" spans="1:6" ht="15" customHeight="1" x14ac:dyDescent="0.2">
      <c r="A4277" s="7" t="s">
        <v>45</v>
      </c>
      <c r="B4277" s="6" t="s">
        <v>189</v>
      </c>
      <c r="C4277" s="16"/>
      <c r="D4277" s="16"/>
      <c r="E4277" s="17">
        <f>E4278+E4279+E4280+E4281</f>
        <v>574401.11</v>
      </c>
    </row>
    <row r="4278" spans="1:6" ht="11.25" customHeight="1" x14ac:dyDescent="0.2">
      <c r="A4278" s="8" t="s">
        <v>47</v>
      </c>
      <c r="B4278" s="9" t="s">
        <v>48</v>
      </c>
      <c r="C4278" s="16">
        <v>1.34</v>
      </c>
      <c r="D4278" s="16">
        <v>18781</v>
      </c>
      <c r="E4278" s="19">
        <f>ROUND(C4278*D4278,2)*12</f>
        <v>301998.48</v>
      </c>
      <c r="F4278" s="20"/>
    </row>
    <row r="4279" spans="1:6" ht="11.25" customHeight="1" x14ac:dyDescent="0.2">
      <c r="A4279" s="8" t="s">
        <v>49</v>
      </c>
      <c r="B4279" s="9" t="s">
        <v>50</v>
      </c>
      <c r="C4279" s="16">
        <v>30.2</v>
      </c>
      <c r="D4279" s="16">
        <f>E4278</f>
        <v>301998.48</v>
      </c>
      <c r="E4279" s="19">
        <f>ROUND(C4279*D4279/100,2)</f>
        <v>91203.54</v>
      </c>
    </row>
    <row r="4280" spans="1:6" ht="11.25" customHeight="1" x14ac:dyDescent="0.2">
      <c r="A4280" s="8" t="s">
        <v>51</v>
      </c>
      <c r="B4280" s="9" t="s">
        <v>52</v>
      </c>
      <c r="C4280" s="16"/>
      <c r="D4280" s="16"/>
      <c r="E4280" s="19">
        <f>ROUND(E4278*0.5,2)</f>
        <v>150999.24</v>
      </c>
    </row>
    <row r="4281" spans="1:6" ht="11.25" customHeight="1" x14ac:dyDescent="0.2">
      <c r="A4281" s="8" t="s">
        <v>53</v>
      </c>
      <c r="B4281" s="9" t="s">
        <v>54</v>
      </c>
      <c r="C4281" s="16"/>
      <c r="D4281" s="16"/>
      <c r="E4281" s="19">
        <f>ROUND(E4278*0.1,2)</f>
        <v>30199.85</v>
      </c>
    </row>
    <row r="4282" spans="1:6" ht="20.100000000000001" customHeight="1" x14ac:dyDescent="0.2">
      <c r="A4282" s="5">
        <v>2</v>
      </c>
      <c r="B4282" s="6" t="s">
        <v>57</v>
      </c>
      <c r="C4282" s="16"/>
      <c r="D4282" s="16"/>
      <c r="E4282" s="17">
        <f>E4283+E4285+E4286+E4287+E4288+E4289+E4284</f>
        <v>543469.27</v>
      </c>
    </row>
    <row r="4283" spans="1:6" ht="11.25" customHeight="1" x14ac:dyDescent="0.2">
      <c r="A4283" s="35" t="s">
        <v>58</v>
      </c>
      <c r="B4283" s="9" t="s">
        <v>204</v>
      </c>
      <c r="C4283" s="16">
        <v>459.65</v>
      </c>
      <c r="D4283" s="16">
        <f>E4283/C4283</f>
        <v>177.96999891221583</v>
      </c>
      <c r="E4283" s="19">
        <v>81803.91</v>
      </c>
    </row>
    <row r="4284" spans="1:6" ht="11.25" customHeight="1" x14ac:dyDescent="0.2">
      <c r="A4284" s="35" t="s">
        <v>60</v>
      </c>
      <c r="B4284" s="9" t="s">
        <v>195</v>
      </c>
      <c r="C4284" s="16">
        <v>459.65</v>
      </c>
      <c r="D4284" s="16">
        <f>E4284/C4284</f>
        <v>219.63343848580442</v>
      </c>
      <c r="E4284" s="19">
        <v>100954.51</v>
      </c>
    </row>
    <row r="4285" spans="1:6" ht="11.25" customHeight="1" x14ac:dyDescent="0.2">
      <c r="A4285" s="35" t="s">
        <v>62</v>
      </c>
      <c r="B4285" s="9" t="s">
        <v>196</v>
      </c>
      <c r="C4285" s="16">
        <v>145.82</v>
      </c>
      <c r="D4285" s="16">
        <f>E4285/C4285</f>
        <v>848.40124811411329</v>
      </c>
      <c r="E4285" s="19">
        <v>123713.87</v>
      </c>
    </row>
    <row r="4286" spans="1:6" ht="11.25" customHeight="1" x14ac:dyDescent="0.2">
      <c r="A4286" s="35" t="s">
        <v>64</v>
      </c>
      <c r="B4286" s="9" t="s">
        <v>63</v>
      </c>
      <c r="C4286" s="16">
        <f>E4286/D4286</f>
        <v>25000</v>
      </c>
      <c r="D4286" s="16">
        <v>5.47</v>
      </c>
      <c r="E4286" s="19">
        <v>136750</v>
      </c>
    </row>
    <row r="4287" spans="1:6" ht="11.25" customHeight="1" x14ac:dyDescent="0.2">
      <c r="A4287" s="35" t="s">
        <v>66</v>
      </c>
      <c r="B4287" s="9" t="s">
        <v>65</v>
      </c>
      <c r="C4287" s="16">
        <f>E4287/D4287</f>
        <v>1162.0969020701805</v>
      </c>
      <c r="D4287" s="16">
        <v>68.11</v>
      </c>
      <c r="E4287" s="19">
        <f>60910.1+4373.18+13867.14</f>
        <v>79150.42</v>
      </c>
      <c r="F4287" s="20"/>
    </row>
    <row r="4288" spans="1:6" ht="11.25" customHeight="1" x14ac:dyDescent="0.2">
      <c r="A4288" s="35" t="s">
        <v>68</v>
      </c>
      <c r="B4288" s="9" t="s">
        <v>69</v>
      </c>
      <c r="C4288" s="16">
        <v>983</v>
      </c>
      <c r="D4288" s="16">
        <f>E4288/C4288</f>
        <v>3.35</v>
      </c>
      <c r="E4288" s="19">
        <v>3293.05</v>
      </c>
    </row>
    <row r="4289" spans="1:6" ht="11.25" customHeight="1" x14ac:dyDescent="0.2">
      <c r="A4289" s="35" t="s">
        <v>70</v>
      </c>
      <c r="B4289" s="9" t="s">
        <v>71</v>
      </c>
      <c r="C4289" s="16">
        <v>94.68</v>
      </c>
      <c r="D4289" s="16">
        <f>E4289/C4289</f>
        <v>188.03876214617657</v>
      </c>
      <c r="E4289" s="19">
        <v>17803.509999999998</v>
      </c>
    </row>
    <row r="4290" spans="1:6" ht="20.100000000000001" customHeight="1" x14ac:dyDescent="0.2">
      <c r="A4290" s="5">
        <v>3</v>
      </c>
      <c r="B4290" s="6" t="s">
        <v>72</v>
      </c>
      <c r="C4290" s="16"/>
      <c r="D4290" s="16"/>
      <c r="E4290" s="17">
        <f>E4291+E4292+E4293+E4294+E4295+E4296+E4297+E4298+E4299+E4301+E4300</f>
        <v>342360.57976079953</v>
      </c>
    </row>
    <row r="4291" spans="1:6" ht="11.25" customHeight="1" x14ac:dyDescent="0.2">
      <c r="A4291" s="8" t="s">
        <v>73</v>
      </c>
      <c r="B4291" s="9" t="s">
        <v>74</v>
      </c>
      <c r="C4291" s="34">
        <v>4</v>
      </c>
      <c r="D4291" s="16">
        <f>E4291/C4291/12</f>
        <v>4235.3279166666662</v>
      </c>
      <c r="E4291" s="19">
        <v>203295.74</v>
      </c>
    </row>
    <row r="4292" spans="1:6" ht="11.25" customHeight="1" x14ac:dyDescent="0.2">
      <c r="A4292" s="8" t="s">
        <v>75</v>
      </c>
      <c r="B4292" s="9" t="s">
        <v>76</v>
      </c>
      <c r="C4292" s="16"/>
      <c r="D4292" s="16"/>
      <c r="E4292" s="19">
        <v>0</v>
      </c>
    </row>
    <row r="4293" spans="1:6" ht="11.25" customHeight="1" x14ac:dyDescent="0.2">
      <c r="A4293" s="8" t="s">
        <v>77</v>
      </c>
      <c r="B4293" s="9" t="s">
        <v>78</v>
      </c>
      <c r="C4293" s="16"/>
      <c r="D4293" s="16"/>
      <c r="E4293" s="19">
        <v>0</v>
      </c>
    </row>
    <row r="4294" spans="1:6" ht="11.25" customHeight="1" x14ac:dyDescent="0.2">
      <c r="A4294" s="8" t="s">
        <v>79</v>
      </c>
      <c r="B4294" s="9" t="s">
        <v>80</v>
      </c>
      <c r="C4294" s="16">
        <v>6255</v>
      </c>
      <c r="D4294" s="16">
        <f>E4294/C4294</f>
        <v>4.1500687450039973</v>
      </c>
      <c r="E4294" s="19">
        <v>25958.68</v>
      </c>
    </row>
    <row r="4295" spans="1:6" ht="11.25" customHeight="1" x14ac:dyDescent="0.2">
      <c r="A4295" s="8" t="s">
        <v>81</v>
      </c>
      <c r="B4295" s="9" t="s">
        <v>82</v>
      </c>
      <c r="C4295" s="34">
        <v>284</v>
      </c>
      <c r="D4295" s="16">
        <f>E4295/C4295</f>
        <v>71.769260563380286</v>
      </c>
      <c r="E4295" s="19">
        <v>20382.47</v>
      </c>
    </row>
    <row r="4296" spans="1:6" ht="11.25" customHeight="1" x14ac:dyDescent="0.2">
      <c r="A4296" s="8" t="s">
        <v>83</v>
      </c>
      <c r="B4296" s="9" t="s">
        <v>194</v>
      </c>
      <c r="C4296" s="34">
        <v>142</v>
      </c>
      <c r="D4296" s="16">
        <f>E4296/C4296</f>
        <v>85.967957746478874</v>
      </c>
      <c r="E4296" s="19">
        <v>12207.45</v>
      </c>
    </row>
    <row r="4297" spans="1:6" ht="11.25" customHeight="1" x14ac:dyDescent="0.2">
      <c r="A4297" s="8" t="s">
        <v>85</v>
      </c>
      <c r="B4297" s="9" t="s">
        <v>86</v>
      </c>
      <c r="C4297" s="34"/>
      <c r="D4297" s="16"/>
      <c r="E4297" s="19">
        <v>0</v>
      </c>
    </row>
    <row r="4298" spans="1:6" ht="11.25" customHeight="1" x14ac:dyDescent="0.2">
      <c r="A4298" s="8" t="s">
        <v>87</v>
      </c>
      <c r="B4298" s="9" t="s">
        <v>88</v>
      </c>
      <c r="C4298" s="34">
        <v>142</v>
      </c>
      <c r="D4298" s="16">
        <f>E4298/C4298</f>
        <v>489.00084507042249</v>
      </c>
      <c r="E4298" s="19">
        <v>69438.12</v>
      </c>
    </row>
    <row r="4299" spans="1:6" ht="11.25" customHeight="1" x14ac:dyDescent="0.2">
      <c r="A4299" s="8" t="s">
        <v>89</v>
      </c>
      <c r="B4299" s="9" t="s">
        <v>90</v>
      </c>
      <c r="C4299" s="16"/>
      <c r="D4299" s="16"/>
      <c r="E4299" s="19">
        <v>0</v>
      </c>
    </row>
    <row r="4300" spans="1:6" ht="11.25" customHeight="1" x14ac:dyDescent="0.2">
      <c r="A4300" s="8" t="s">
        <v>91</v>
      </c>
      <c r="B4300" s="9" t="s">
        <v>202</v>
      </c>
      <c r="C4300" s="34">
        <v>4</v>
      </c>
      <c r="D4300" s="16">
        <f>E4300/C4300</f>
        <v>2769.5299401998955</v>
      </c>
      <c r="E4300" s="19">
        <f>2826.16*4*1.2*0.81663515754</f>
        <v>11078.119760799582</v>
      </c>
    </row>
    <row r="4301" spans="1:6" ht="11.25" customHeight="1" x14ac:dyDescent="0.2">
      <c r="A4301" s="8" t="s">
        <v>203</v>
      </c>
      <c r="B4301" s="9" t="s">
        <v>92</v>
      </c>
      <c r="C4301" s="16"/>
      <c r="D4301" s="16"/>
      <c r="E4301" s="19">
        <v>0</v>
      </c>
    </row>
    <row r="4302" spans="1:6" ht="15" customHeight="1" x14ac:dyDescent="0.2">
      <c r="A4302" s="5">
        <v>4</v>
      </c>
      <c r="B4302" s="6" t="s">
        <v>193</v>
      </c>
      <c r="C4302" s="16"/>
      <c r="D4302" s="16"/>
      <c r="E4302" s="17">
        <f>ROUND(F4303/1.1*0.1,2)</f>
        <v>198158.4</v>
      </c>
    </row>
    <row r="4303" spans="1:6" ht="18.75" customHeight="1" x14ac:dyDescent="0.2">
      <c r="A4303" s="10"/>
      <c r="B4303" s="11" t="s">
        <v>94</v>
      </c>
      <c r="C4303" s="21"/>
      <c r="D4303" s="21"/>
      <c r="E4303" s="17">
        <f>E4269+E4282+E4290+E4302</f>
        <v>2179742.4017607993</v>
      </c>
      <c r="F4303" s="25">
        <f>E4256*29.04*12</f>
        <v>2179742.4</v>
      </c>
    </row>
    <row r="4304" spans="1:6" ht="15" customHeight="1" x14ac:dyDescent="0.25">
      <c r="A4304" s="10"/>
      <c r="B4304" s="11" t="s">
        <v>199</v>
      </c>
      <c r="C4304" s="21"/>
      <c r="D4304" s="21"/>
      <c r="E4304" s="22">
        <v>29.04</v>
      </c>
    </row>
    <row r="4305" spans="1:5" ht="10.95" customHeight="1" x14ac:dyDescent="0.2"/>
    <row r="4306" spans="1:5" ht="10.95" customHeight="1" x14ac:dyDescent="0.2"/>
    <row r="4307" spans="1:5" ht="10.95" customHeight="1" x14ac:dyDescent="0.2"/>
    <row r="4308" spans="1:5" ht="15" customHeight="1" x14ac:dyDescent="0.25">
      <c r="B4308" s="12" t="s">
        <v>96</v>
      </c>
    </row>
    <row r="4309" spans="1:5" ht="12" customHeight="1" x14ac:dyDescent="0.2"/>
    <row r="4310" spans="1:5" ht="13.2" customHeight="1" x14ac:dyDescent="0.25">
      <c r="B4310" s="3" t="s">
        <v>97</v>
      </c>
    </row>
    <row r="4311" spans="1:5" ht="7.95" customHeight="1" x14ac:dyDescent="0.2"/>
    <row r="4312" spans="1:5" ht="12" customHeight="1" x14ac:dyDescent="0.25">
      <c r="B4312" s="41" t="s">
        <v>100</v>
      </c>
      <c r="C4312" s="41"/>
      <c r="D4312" s="41"/>
      <c r="E4312" s="41"/>
    </row>
    <row r="4313" spans="1:5" ht="10.95" customHeight="1" x14ac:dyDescent="0.2"/>
    <row r="4314" spans="1:5" ht="10.95" customHeight="1" x14ac:dyDescent="0.2"/>
    <row r="4315" spans="1:5" ht="10.95" customHeight="1" x14ac:dyDescent="0.2"/>
    <row r="4316" spans="1:5" ht="16.2" customHeight="1" x14ac:dyDescent="0.2">
      <c r="A4316" s="39" t="s">
        <v>0</v>
      </c>
      <c r="B4316" s="39"/>
      <c r="C4316" s="39"/>
      <c r="D4316" s="39"/>
      <c r="E4316" s="39"/>
    </row>
    <row r="4317" spans="1:5" ht="10.95" customHeight="1" x14ac:dyDescent="0.2">
      <c r="A4317" s="40" t="s">
        <v>1</v>
      </c>
      <c r="B4317" s="40"/>
      <c r="C4317" s="40"/>
      <c r="D4317" s="40"/>
      <c r="E4317" s="40"/>
    </row>
    <row r="4318" spans="1:5" ht="13.2" customHeight="1" x14ac:dyDescent="0.2">
      <c r="A4318" s="40" t="s">
        <v>198</v>
      </c>
      <c r="B4318" s="40"/>
      <c r="C4318" s="40"/>
      <c r="D4318" s="40"/>
      <c r="E4318" s="40"/>
    </row>
    <row r="4319" spans="1:5" ht="10.95" customHeight="1" x14ac:dyDescent="0.2"/>
    <row r="4320" spans="1:5" ht="10.95" customHeight="1" x14ac:dyDescent="0.2">
      <c r="C4320" s="42" t="s">
        <v>3</v>
      </c>
      <c r="D4320" s="42"/>
      <c r="E4320" s="42"/>
    </row>
    <row r="4321" spans="1:6" ht="12" customHeight="1" x14ac:dyDescent="0.2">
      <c r="D4321" s="26" t="s">
        <v>4</v>
      </c>
      <c r="E4321" s="24">
        <v>7174.9</v>
      </c>
    </row>
    <row r="4322" spans="1:6" ht="12" customHeight="1" x14ac:dyDescent="0.2">
      <c r="D4322" s="26" t="s">
        <v>5</v>
      </c>
      <c r="E4322" s="23">
        <v>503.1</v>
      </c>
    </row>
    <row r="4323" spans="1:6" ht="12" customHeight="1" x14ac:dyDescent="0.2">
      <c r="D4323" s="26" t="s">
        <v>6</v>
      </c>
      <c r="E4323" s="30">
        <v>3</v>
      </c>
    </row>
    <row r="4324" spans="1:6" ht="12" customHeight="1" x14ac:dyDescent="0.2">
      <c r="D4324" s="26" t="s">
        <v>7</v>
      </c>
      <c r="E4324" s="30">
        <v>12</v>
      </c>
    </row>
    <row r="4325" spans="1:6" ht="12" customHeight="1" x14ac:dyDescent="0.2">
      <c r="D4325" s="26" t="s">
        <v>8</v>
      </c>
      <c r="E4325" s="30">
        <v>143</v>
      </c>
    </row>
    <row r="4326" spans="1:6" ht="12" customHeight="1" x14ac:dyDescent="0.2">
      <c r="D4326" s="26" t="s">
        <v>9</v>
      </c>
      <c r="E4326" s="30">
        <v>331</v>
      </c>
    </row>
    <row r="4327" spans="1:6" ht="12" customHeight="1" x14ac:dyDescent="0.2">
      <c r="D4327" s="26" t="s">
        <v>10</v>
      </c>
      <c r="E4327" s="30">
        <v>6</v>
      </c>
    </row>
    <row r="4328" spans="1:6" ht="12" customHeight="1" x14ac:dyDescent="0.2">
      <c r="D4328" s="26" t="s">
        <v>11</v>
      </c>
      <c r="E4328" s="30">
        <v>3</v>
      </c>
    </row>
    <row r="4329" spans="1:6" ht="12" customHeight="1" x14ac:dyDescent="0.2">
      <c r="D4329" s="26" t="s">
        <v>12</v>
      </c>
      <c r="E4329" s="30">
        <v>0</v>
      </c>
    </row>
    <row r="4330" spans="1:6" ht="12" customHeight="1" x14ac:dyDescent="0.2">
      <c r="D4330" s="26" t="s">
        <v>13</v>
      </c>
      <c r="E4330" s="30">
        <v>842</v>
      </c>
    </row>
    <row r="4331" spans="1:6" ht="12" customHeight="1" x14ac:dyDescent="0.25">
      <c r="A4331" s="2" t="s">
        <v>14</v>
      </c>
      <c r="B4331" s="3" t="s">
        <v>181</v>
      </c>
    </row>
    <row r="4332" spans="1:6" ht="10.95" customHeight="1" x14ac:dyDescent="0.2"/>
    <row r="4333" spans="1:6" ht="45" customHeight="1" x14ac:dyDescent="0.2">
      <c r="A4333" s="4" t="s">
        <v>15</v>
      </c>
      <c r="B4333" s="4" t="s">
        <v>131</v>
      </c>
      <c r="C4333" s="27" t="s">
        <v>17</v>
      </c>
      <c r="D4333" s="27" t="s">
        <v>103</v>
      </c>
      <c r="E4333" s="27" t="s">
        <v>19</v>
      </c>
    </row>
    <row r="4334" spans="1:6" ht="31.5" customHeight="1" x14ac:dyDescent="0.2">
      <c r="A4334" s="5">
        <v>1</v>
      </c>
      <c r="B4334" s="6" t="s">
        <v>190</v>
      </c>
      <c r="C4334" s="16"/>
      <c r="D4334" s="16"/>
      <c r="E4334" s="17">
        <f>E4335+E4342</f>
        <v>1158024.446</v>
      </c>
    </row>
    <row r="4335" spans="1:6" ht="15" customHeight="1" x14ac:dyDescent="0.2">
      <c r="A4335" s="7" t="s">
        <v>21</v>
      </c>
      <c r="B4335" s="6" t="s">
        <v>132</v>
      </c>
      <c r="C4335" s="16"/>
      <c r="D4335" s="16"/>
      <c r="E4335" s="17">
        <f>SUM(E4336:E4341)</f>
        <v>469242.53600000002</v>
      </c>
    </row>
    <row r="4336" spans="1:6" ht="11.25" customHeight="1" x14ac:dyDescent="0.2">
      <c r="A4336" s="15" t="s">
        <v>23</v>
      </c>
      <c r="B4336" s="9" t="s">
        <v>34</v>
      </c>
      <c r="C4336" s="16">
        <v>0.78</v>
      </c>
      <c r="D4336" s="16">
        <v>18781</v>
      </c>
      <c r="E4336" s="19">
        <f>ROUND(C4336*D4336,2)*12</f>
        <v>175790.16</v>
      </c>
      <c r="F4336" s="20"/>
    </row>
    <row r="4337" spans="1:6" ht="11.25" customHeight="1" x14ac:dyDescent="0.2">
      <c r="A4337" s="8" t="s">
        <v>31</v>
      </c>
      <c r="B4337" s="9" t="s">
        <v>36</v>
      </c>
      <c r="C4337" s="16">
        <v>0.76</v>
      </c>
      <c r="D4337" s="16">
        <v>18781</v>
      </c>
      <c r="E4337" s="19">
        <f>ROUND(C4337*D4337,2)*12</f>
        <v>171282.72</v>
      </c>
    </row>
    <row r="4338" spans="1:6" ht="11.25" customHeight="1" x14ac:dyDescent="0.2">
      <c r="A4338" s="8" t="s">
        <v>121</v>
      </c>
      <c r="B4338" s="9" t="s">
        <v>38</v>
      </c>
      <c r="C4338" s="16">
        <v>30.2</v>
      </c>
      <c r="D4338" s="16">
        <f>E4336</f>
        <v>175790.16</v>
      </c>
      <c r="E4338" s="19">
        <f>ROUND(C4338*D4338/100,2)</f>
        <v>53088.63</v>
      </c>
    </row>
    <row r="4339" spans="1:6" ht="11.25" customHeight="1" x14ac:dyDescent="0.2">
      <c r="A4339" s="8" t="s">
        <v>186</v>
      </c>
      <c r="B4339" s="9" t="s">
        <v>40</v>
      </c>
      <c r="C4339" s="16">
        <v>30.2</v>
      </c>
      <c r="D4339" s="16">
        <f>E4337</f>
        <v>171282.72</v>
      </c>
      <c r="E4339" s="19">
        <f>ROUND(C4339*D4339/100,2)</f>
        <v>51727.38</v>
      </c>
    </row>
    <row r="4340" spans="1:6" ht="11.25" customHeight="1" x14ac:dyDescent="0.2">
      <c r="A4340" s="8" t="s">
        <v>187</v>
      </c>
      <c r="B4340" s="9" t="s">
        <v>42</v>
      </c>
      <c r="C4340" s="16"/>
      <c r="D4340" s="16"/>
      <c r="E4340" s="19">
        <f>ROUND(E4336*0.05,2)</f>
        <v>8789.51</v>
      </c>
    </row>
    <row r="4341" spans="1:6" ht="11.25" customHeight="1" x14ac:dyDescent="0.2">
      <c r="A4341" s="8" t="s">
        <v>188</v>
      </c>
      <c r="B4341" s="9" t="s">
        <v>44</v>
      </c>
      <c r="C4341" s="16"/>
      <c r="D4341" s="16"/>
      <c r="E4341" s="19">
        <f>E4337*0.05</f>
        <v>8564.1360000000004</v>
      </c>
    </row>
    <row r="4342" spans="1:6" ht="15" customHeight="1" x14ac:dyDescent="0.2">
      <c r="A4342" s="7" t="s">
        <v>45</v>
      </c>
      <c r="B4342" s="6" t="s">
        <v>189</v>
      </c>
      <c r="C4342" s="16"/>
      <c r="D4342" s="16"/>
      <c r="E4342" s="17">
        <f>E4343+E4344+E4345+E4346</f>
        <v>688781.90999999992</v>
      </c>
    </row>
    <row r="4343" spans="1:6" ht="11.25" customHeight="1" x14ac:dyDescent="0.2">
      <c r="A4343" s="8" t="s">
        <v>47</v>
      </c>
      <c r="B4343" s="9" t="s">
        <v>48</v>
      </c>
      <c r="C4343" s="16">
        <v>1.85</v>
      </c>
      <c r="D4343" s="16">
        <v>18781</v>
      </c>
      <c r="E4343" s="19">
        <f>ROUND(C4343*D4343,2)*12</f>
        <v>416938.19999999995</v>
      </c>
      <c r="F4343" s="20"/>
    </row>
    <row r="4344" spans="1:6" ht="11.25" customHeight="1" x14ac:dyDescent="0.2">
      <c r="A4344" s="8" t="s">
        <v>49</v>
      </c>
      <c r="B4344" s="9" t="s">
        <v>50</v>
      </c>
      <c r="C4344" s="16">
        <v>30.2</v>
      </c>
      <c r="D4344" s="16">
        <f>E4343</f>
        <v>416938.19999999995</v>
      </c>
      <c r="E4344" s="19">
        <f>ROUND(C4344*D4344/100,2)</f>
        <v>125915.34</v>
      </c>
    </row>
    <row r="4345" spans="1:6" ht="11.25" customHeight="1" x14ac:dyDescent="0.2">
      <c r="A4345" s="8" t="s">
        <v>51</v>
      </c>
      <c r="B4345" s="9" t="s">
        <v>52</v>
      </c>
      <c r="C4345" s="16"/>
      <c r="D4345" s="16"/>
      <c r="E4345" s="19">
        <f>E4343*0.3</f>
        <v>125081.45999999998</v>
      </c>
    </row>
    <row r="4346" spans="1:6" ht="11.25" customHeight="1" x14ac:dyDescent="0.2">
      <c r="A4346" s="8" t="s">
        <v>53</v>
      </c>
      <c r="B4346" s="9" t="s">
        <v>54</v>
      </c>
      <c r="C4346" s="16"/>
      <c r="D4346" s="16"/>
      <c r="E4346" s="19">
        <f>E4343*0.05</f>
        <v>20846.91</v>
      </c>
    </row>
    <row r="4347" spans="1:6" ht="20.100000000000001" customHeight="1" x14ac:dyDescent="0.2">
      <c r="A4347" s="5">
        <v>2</v>
      </c>
      <c r="B4347" s="6" t="s">
        <v>57</v>
      </c>
      <c r="C4347" s="16"/>
      <c r="D4347" s="16"/>
      <c r="E4347" s="17">
        <f>E4348+E4350+E4351+E4352+E4353+E4354+E4349</f>
        <v>660472.03</v>
      </c>
    </row>
    <row r="4348" spans="1:6" ht="11.25" customHeight="1" x14ac:dyDescent="0.2">
      <c r="A4348" s="35" t="s">
        <v>58</v>
      </c>
      <c r="B4348" s="9" t="s">
        <v>204</v>
      </c>
      <c r="C4348" s="16">
        <v>479.95</v>
      </c>
      <c r="D4348" s="16">
        <f>E4348/C4348</f>
        <v>177.96999687467445</v>
      </c>
      <c r="E4348" s="19">
        <v>85416.7</v>
      </c>
    </row>
    <row r="4349" spans="1:6" ht="11.25" customHeight="1" x14ac:dyDescent="0.2">
      <c r="A4349" s="35" t="s">
        <v>60</v>
      </c>
      <c r="B4349" s="9" t="s">
        <v>195</v>
      </c>
      <c r="C4349" s="16">
        <v>479.95</v>
      </c>
      <c r="D4349" s="16">
        <f>E4349/C4349</f>
        <v>219.6334409834358</v>
      </c>
      <c r="E4349" s="19">
        <v>105413.07</v>
      </c>
    </row>
    <row r="4350" spans="1:6" ht="11.25" customHeight="1" x14ac:dyDescent="0.2">
      <c r="A4350" s="35" t="s">
        <v>62</v>
      </c>
      <c r="B4350" s="9" t="s">
        <v>196</v>
      </c>
      <c r="C4350" s="16">
        <v>152.26</v>
      </c>
      <c r="D4350" s="16">
        <f>E4350/C4350</f>
        <v>848.40122159464079</v>
      </c>
      <c r="E4350" s="19">
        <v>129177.57</v>
      </c>
    </row>
    <row r="4351" spans="1:6" ht="11.25" customHeight="1" x14ac:dyDescent="0.2">
      <c r="A4351" s="35" t="s">
        <v>64</v>
      </c>
      <c r="B4351" s="9" t="s">
        <v>63</v>
      </c>
      <c r="C4351" s="16">
        <v>29000</v>
      </c>
      <c r="D4351" s="16">
        <v>5.47</v>
      </c>
      <c r="E4351" s="19">
        <f>246150-1689.04</f>
        <v>244460.96</v>
      </c>
      <c r="F4351" s="20"/>
    </row>
    <row r="4352" spans="1:6" ht="11.25" customHeight="1" x14ac:dyDescent="0.2">
      <c r="A4352" s="35" t="s">
        <v>66</v>
      </c>
      <c r="B4352" s="9" t="s">
        <v>65</v>
      </c>
      <c r="C4352" s="16">
        <f>E4352/D4352</f>
        <v>1104.0220231977682</v>
      </c>
      <c r="D4352" s="16">
        <v>68.11</v>
      </c>
      <c r="E4352" s="19">
        <f>75890.91-695.97</f>
        <v>75194.94</v>
      </c>
    </row>
    <row r="4353" spans="1:6" ht="11.25" customHeight="1" x14ac:dyDescent="0.2">
      <c r="A4353" s="35" t="s">
        <v>68</v>
      </c>
      <c r="B4353" s="9" t="s">
        <v>69</v>
      </c>
      <c r="C4353" s="16">
        <v>897.1</v>
      </c>
      <c r="D4353" s="16">
        <f>E4353/C4353</f>
        <v>3.3499944264853418</v>
      </c>
      <c r="E4353" s="19">
        <v>3005.28</v>
      </c>
    </row>
    <row r="4354" spans="1:6" ht="11.25" customHeight="1" x14ac:dyDescent="0.2">
      <c r="A4354" s="35" t="s">
        <v>70</v>
      </c>
      <c r="B4354" s="9" t="s">
        <v>71</v>
      </c>
      <c r="C4354" s="16">
        <v>94.68</v>
      </c>
      <c r="D4354" s="16">
        <f>E4354/C4354</f>
        <v>188.03876214617657</v>
      </c>
      <c r="E4354" s="19">
        <v>17803.509999999998</v>
      </c>
    </row>
    <row r="4355" spans="1:6" ht="20.100000000000001" customHeight="1" x14ac:dyDescent="0.2">
      <c r="A4355" s="5">
        <v>3</v>
      </c>
      <c r="B4355" s="6" t="s">
        <v>72</v>
      </c>
      <c r="C4355" s="16"/>
      <c r="D4355" s="16"/>
      <c r="E4355" s="17">
        <f>E4356+E4357+E4358+E4359+E4360+E4361+E4362+E4363+E4364+E4366+E4365</f>
        <v>454511.84964119934</v>
      </c>
    </row>
    <row r="4356" spans="1:6" ht="11.25" customHeight="1" x14ac:dyDescent="0.2">
      <c r="A4356" s="8" t="s">
        <v>73</v>
      </c>
      <c r="B4356" s="9" t="s">
        <v>74</v>
      </c>
      <c r="C4356" s="34">
        <v>6</v>
      </c>
      <c r="D4356" s="16">
        <f>E4356/C4356/12</f>
        <v>3648.7319444444443</v>
      </c>
      <c r="E4356" s="19">
        <v>262708.7</v>
      </c>
    </row>
    <row r="4357" spans="1:6" ht="11.25" customHeight="1" x14ac:dyDescent="0.2">
      <c r="A4357" s="8" t="s">
        <v>75</v>
      </c>
      <c r="B4357" s="9" t="s">
        <v>76</v>
      </c>
      <c r="C4357" s="34"/>
      <c r="D4357" s="16"/>
      <c r="E4357" s="19">
        <v>0</v>
      </c>
    </row>
    <row r="4358" spans="1:6" ht="11.25" customHeight="1" x14ac:dyDescent="0.2">
      <c r="A4358" s="8" t="s">
        <v>77</v>
      </c>
      <c r="B4358" s="9" t="s">
        <v>78</v>
      </c>
      <c r="C4358" s="34">
        <v>3</v>
      </c>
      <c r="D4358" s="16">
        <f>E4358/C4358/12</f>
        <v>928.83277777777778</v>
      </c>
      <c r="E4358" s="19">
        <v>33437.980000000003</v>
      </c>
    </row>
    <row r="4359" spans="1:6" ht="11.25" customHeight="1" x14ac:dyDescent="0.2">
      <c r="A4359" s="8" t="s">
        <v>79</v>
      </c>
      <c r="B4359" s="9" t="s">
        <v>80</v>
      </c>
      <c r="C4359" s="16">
        <v>7174.9</v>
      </c>
      <c r="D4359" s="16">
        <f>E4359/C4359</f>
        <v>4.4410695619451142</v>
      </c>
      <c r="E4359" s="19">
        <v>31864.23</v>
      </c>
    </row>
    <row r="4360" spans="1:6" ht="11.25" customHeight="1" x14ac:dyDescent="0.2">
      <c r="A4360" s="8" t="s">
        <v>81</v>
      </c>
      <c r="B4360" s="9" t="s">
        <v>82</v>
      </c>
      <c r="C4360" s="34">
        <v>286</v>
      </c>
      <c r="D4360" s="16">
        <f>E4360/C4360</f>
        <v>71.070419580419582</v>
      </c>
      <c r="E4360" s="19">
        <v>20326.14</v>
      </c>
    </row>
    <row r="4361" spans="1:6" ht="11.25" customHeight="1" x14ac:dyDescent="0.2">
      <c r="A4361" s="8" t="s">
        <v>83</v>
      </c>
      <c r="B4361" s="9" t="s">
        <v>194</v>
      </c>
      <c r="C4361" s="34">
        <v>143</v>
      </c>
      <c r="D4361" s="16">
        <f>E4361/C4361</f>
        <v>92.55510489510489</v>
      </c>
      <c r="E4361" s="19">
        <v>13235.38</v>
      </c>
    </row>
    <row r="4362" spans="1:6" ht="11.25" customHeight="1" x14ac:dyDescent="0.2">
      <c r="A4362" s="8" t="s">
        <v>85</v>
      </c>
      <c r="B4362" s="9" t="s">
        <v>86</v>
      </c>
      <c r="C4362" s="34"/>
      <c r="D4362" s="16"/>
      <c r="E4362" s="19">
        <v>0</v>
      </c>
    </row>
    <row r="4363" spans="1:6" ht="11.25" customHeight="1" x14ac:dyDescent="0.2">
      <c r="A4363" s="8" t="s">
        <v>87</v>
      </c>
      <c r="B4363" s="9" t="s">
        <v>88</v>
      </c>
      <c r="C4363" s="34">
        <v>143</v>
      </c>
      <c r="D4363" s="16">
        <f>E4363/C4363</f>
        <v>533.72195804195803</v>
      </c>
      <c r="E4363" s="19">
        <v>76322.240000000005</v>
      </c>
    </row>
    <row r="4364" spans="1:6" ht="11.25" customHeight="1" x14ac:dyDescent="0.2">
      <c r="A4364" s="8" t="s">
        <v>89</v>
      </c>
      <c r="B4364" s="9" t="s">
        <v>90</v>
      </c>
      <c r="C4364" s="16"/>
      <c r="D4364" s="16"/>
      <c r="E4364" s="19">
        <v>0</v>
      </c>
    </row>
    <row r="4365" spans="1:6" ht="11.25" customHeight="1" x14ac:dyDescent="0.2">
      <c r="A4365" s="8" t="s">
        <v>91</v>
      </c>
      <c r="B4365" s="9" t="s">
        <v>202</v>
      </c>
      <c r="C4365" s="34">
        <v>6</v>
      </c>
      <c r="D4365" s="16">
        <f>E4365/C4365</f>
        <v>2769.5299401998959</v>
      </c>
      <c r="E4365" s="19">
        <f>2826.16*6*1.2*0.81663515754</f>
        <v>16617.179641199375</v>
      </c>
    </row>
    <row r="4366" spans="1:6" ht="11.25" customHeight="1" x14ac:dyDescent="0.2">
      <c r="A4366" s="8" t="s">
        <v>203</v>
      </c>
      <c r="B4366" s="9" t="s">
        <v>92</v>
      </c>
      <c r="C4366" s="16"/>
      <c r="D4366" s="16"/>
      <c r="E4366" s="19">
        <v>0</v>
      </c>
    </row>
    <row r="4367" spans="1:6" ht="15" customHeight="1" x14ac:dyDescent="0.2">
      <c r="A4367" s="5">
        <v>4</v>
      </c>
      <c r="B4367" s="6" t="s">
        <v>193</v>
      </c>
      <c r="C4367" s="16"/>
      <c r="D4367" s="16"/>
      <c r="E4367" s="17">
        <f>ROUND(F4368/1.1*0.1,2)</f>
        <v>227300.83</v>
      </c>
    </row>
    <row r="4368" spans="1:6" ht="18.75" customHeight="1" x14ac:dyDescent="0.2">
      <c r="A4368" s="10"/>
      <c r="B4368" s="11" t="s">
        <v>94</v>
      </c>
      <c r="C4368" s="21"/>
      <c r="D4368" s="21"/>
      <c r="E4368" s="17">
        <f>E4334+E4347+E4355+E4367</f>
        <v>2500309.1556411996</v>
      </c>
      <c r="F4368" s="25">
        <f>E4321*29.04*12</f>
        <v>2500309.1519999998</v>
      </c>
    </row>
    <row r="4369" spans="1:5" ht="15" customHeight="1" x14ac:dyDescent="0.25">
      <c r="A4369" s="10"/>
      <c r="B4369" s="11" t="s">
        <v>199</v>
      </c>
      <c r="C4369" s="21"/>
      <c r="D4369" s="21"/>
      <c r="E4369" s="22">
        <v>29.04</v>
      </c>
    </row>
    <row r="4370" spans="1:5" ht="10.95" customHeight="1" x14ac:dyDescent="0.2"/>
    <row r="4371" spans="1:5" ht="10.95" customHeight="1" x14ac:dyDescent="0.2"/>
    <row r="4372" spans="1:5" ht="10.95" customHeight="1" x14ac:dyDescent="0.2"/>
    <row r="4373" spans="1:5" ht="15" customHeight="1" x14ac:dyDescent="0.25">
      <c r="B4373" s="12" t="s">
        <v>96</v>
      </c>
    </row>
    <row r="4374" spans="1:5" ht="12" customHeight="1" x14ac:dyDescent="0.2"/>
    <row r="4375" spans="1:5" ht="13.2" customHeight="1" x14ac:dyDescent="0.25">
      <c r="B4375" s="3" t="s">
        <v>97</v>
      </c>
    </row>
    <row r="4376" spans="1:5" ht="7.95" customHeight="1" x14ac:dyDescent="0.2"/>
    <row r="4377" spans="1:5" ht="12" customHeight="1" x14ac:dyDescent="0.25">
      <c r="B4377" s="41" t="s">
        <v>100</v>
      </c>
      <c r="C4377" s="41"/>
      <c r="D4377" s="41"/>
      <c r="E4377" s="41"/>
    </row>
    <row r="4378" spans="1:5" ht="10.95" customHeight="1" x14ac:dyDescent="0.2"/>
    <row r="4379" spans="1:5" ht="10.95" customHeight="1" x14ac:dyDescent="0.2"/>
    <row r="4380" spans="1:5" ht="10.95" customHeight="1" x14ac:dyDescent="0.2"/>
    <row r="4381" spans="1:5" ht="16.2" customHeight="1" x14ac:dyDescent="0.2">
      <c r="A4381" s="39" t="s">
        <v>0</v>
      </c>
      <c r="B4381" s="39"/>
      <c r="C4381" s="39"/>
      <c r="D4381" s="39"/>
      <c r="E4381" s="39"/>
    </row>
    <row r="4382" spans="1:5" ht="10.95" customHeight="1" x14ac:dyDescent="0.2">
      <c r="A4382" s="40" t="s">
        <v>1</v>
      </c>
      <c r="B4382" s="40"/>
      <c r="C4382" s="40"/>
      <c r="D4382" s="40"/>
      <c r="E4382" s="40"/>
    </row>
    <row r="4383" spans="1:5" ht="13.2" customHeight="1" x14ac:dyDescent="0.2">
      <c r="A4383" s="40" t="s">
        <v>198</v>
      </c>
      <c r="B4383" s="40"/>
      <c r="C4383" s="40"/>
      <c r="D4383" s="40"/>
      <c r="E4383" s="40"/>
    </row>
    <row r="4384" spans="1:5" ht="10.95" customHeight="1" x14ac:dyDescent="0.2"/>
    <row r="4385" spans="1:5" ht="10.95" customHeight="1" x14ac:dyDescent="0.2">
      <c r="C4385" s="42" t="s">
        <v>3</v>
      </c>
      <c r="D4385" s="42"/>
      <c r="E4385" s="42"/>
    </row>
    <row r="4386" spans="1:5" ht="12" customHeight="1" x14ac:dyDescent="0.2">
      <c r="D4386" s="26" t="s">
        <v>4</v>
      </c>
      <c r="E4386" s="24">
        <v>12690.9</v>
      </c>
    </row>
    <row r="4387" spans="1:5" ht="12" customHeight="1" x14ac:dyDescent="0.2">
      <c r="D4387" s="26" t="s">
        <v>5</v>
      </c>
      <c r="E4387" s="23">
        <v>0</v>
      </c>
    </row>
    <row r="4388" spans="1:5" ht="12" customHeight="1" x14ac:dyDescent="0.2">
      <c r="D4388" s="26" t="s">
        <v>6</v>
      </c>
      <c r="E4388" s="30">
        <v>7</v>
      </c>
    </row>
    <row r="4389" spans="1:5" ht="12" customHeight="1" x14ac:dyDescent="0.2">
      <c r="D4389" s="26" t="s">
        <v>7</v>
      </c>
      <c r="E4389" s="30">
        <v>9</v>
      </c>
    </row>
    <row r="4390" spans="1:5" ht="12" customHeight="1" x14ac:dyDescent="0.2">
      <c r="D4390" s="26" t="s">
        <v>8</v>
      </c>
      <c r="E4390" s="30">
        <v>251</v>
      </c>
    </row>
    <row r="4391" spans="1:5" ht="12" customHeight="1" x14ac:dyDescent="0.2">
      <c r="D4391" s="26" t="s">
        <v>9</v>
      </c>
      <c r="E4391" s="30">
        <v>640</v>
      </c>
    </row>
    <row r="4392" spans="1:5" ht="12" customHeight="1" x14ac:dyDescent="0.2">
      <c r="D4392" s="26" t="s">
        <v>10</v>
      </c>
      <c r="E4392" s="30">
        <v>7</v>
      </c>
    </row>
    <row r="4393" spans="1:5" ht="12" customHeight="1" x14ac:dyDescent="0.2">
      <c r="D4393" s="26" t="s">
        <v>11</v>
      </c>
      <c r="E4393" s="30">
        <v>0</v>
      </c>
    </row>
    <row r="4394" spans="1:5" ht="12" customHeight="1" x14ac:dyDescent="0.2">
      <c r="D4394" s="26" t="s">
        <v>12</v>
      </c>
      <c r="E4394" s="30">
        <v>0</v>
      </c>
    </row>
    <row r="4395" spans="1:5" ht="12" customHeight="1" x14ac:dyDescent="0.2">
      <c r="D4395" s="26" t="s">
        <v>13</v>
      </c>
      <c r="E4395" s="30">
        <v>1549</v>
      </c>
    </row>
    <row r="4396" spans="1:5" ht="12" customHeight="1" x14ac:dyDescent="0.25">
      <c r="A4396" s="2" t="s">
        <v>14</v>
      </c>
      <c r="B4396" s="3" t="s">
        <v>182</v>
      </c>
    </row>
    <row r="4397" spans="1:5" ht="10.95" customHeight="1" x14ac:dyDescent="0.2"/>
    <row r="4398" spans="1:5" ht="45" customHeight="1" x14ac:dyDescent="0.2">
      <c r="A4398" s="4" t="s">
        <v>15</v>
      </c>
      <c r="B4398" s="4" t="s">
        <v>131</v>
      </c>
      <c r="C4398" s="27" t="s">
        <v>17</v>
      </c>
      <c r="D4398" s="27" t="s">
        <v>103</v>
      </c>
      <c r="E4398" s="27" t="s">
        <v>19</v>
      </c>
    </row>
    <row r="4399" spans="1:5" ht="31.5" customHeight="1" x14ac:dyDescent="0.2">
      <c r="A4399" s="5">
        <v>1</v>
      </c>
      <c r="B4399" s="6" t="s">
        <v>190</v>
      </c>
      <c r="C4399" s="16"/>
      <c r="D4399" s="16"/>
      <c r="E4399" s="17">
        <f>E4400+E4407</f>
        <v>2276333.8339999998</v>
      </c>
    </row>
    <row r="4400" spans="1:5" ht="15" customHeight="1" x14ac:dyDescent="0.2">
      <c r="A4400" s="7" t="s">
        <v>21</v>
      </c>
      <c r="B4400" s="6" t="s">
        <v>132</v>
      </c>
      <c r="C4400" s="16"/>
      <c r="D4400" s="16"/>
      <c r="E4400" s="17">
        <f>SUM(E4401:E4406)</f>
        <v>1033226.9540000001</v>
      </c>
    </row>
    <row r="4401" spans="1:6" ht="11.25" customHeight="1" x14ac:dyDescent="0.2">
      <c r="A4401" s="15" t="s">
        <v>23</v>
      </c>
      <c r="B4401" s="9" t="s">
        <v>34</v>
      </c>
      <c r="C4401" s="16">
        <v>1.77</v>
      </c>
      <c r="D4401" s="16">
        <v>18781</v>
      </c>
      <c r="E4401" s="19">
        <f>ROUND(C4401*D4401,2)*12</f>
        <v>398908.44000000006</v>
      </c>
      <c r="F4401" s="20"/>
    </row>
    <row r="4402" spans="1:6" ht="11.25" customHeight="1" x14ac:dyDescent="0.2">
      <c r="A4402" s="8" t="s">
        <v>31</v>
      </c>
      <c r="B4402" s="9" t="s">
        <v>36</v>
      </c>
      <c r="C4402" s="16">
        <v>1.5</v>
      </c>
      <c r="D4402" s="16">
        <v>18781</v>
      </c>
      <c r="E4402" s="19">
        <f>ROUND(C4402*D4402,2)*12</f>
        <v>338058</v>
      </c>
    </row>
    <row r="4403" spans="1:6" ht="11.25" customHeight="1" x14ac:dyDescent="0.2">
      <c r="A4403" s="8" t="s">
        <v>121</v>
      </c>
      <c r="B4403" s="9" t="s">
        <v>38</v>
      </c>
      <c r="C4403" s="16">
        <v>30.2</v>
      </c>
      <c r="D4403" s="16">
        <f>E4401</f>
        <v>398908.44000000006</v>
      </c>
      <c r="E4403" s="19">
        <f>ROUND(C4403*D4403/100,2)</f>
        <v>120470.35</v>
      </c>
    </row>
    <row r="4404" spans="1:6" ht="11.25" customHeight="1" x14ac:dyDescent="0.2">
      <c r="A4404" s="8" t="s">
        <v>186</v>
      </c>
      <c r="B4404" s="9" t="s">
        <v>40</v>
      </c>
      <c r="C4404" s="16">
        <v>30.2</v>
      </c>
      <c r="D4404" s="16">
        <f>E4402</f>
        <v>338058</v>
      </c>
      <c r="E4404" s="19">
        <f>ROUND(C4404*D4404/100,2)</f>
        <v>102093.52</v>
      </c>
    </row>
    <row r="4405" spans="1:6" ht="11.25" customHeight="1" x14ac:dyDescent="0.2">
      <c r="A4405" s="8" t="s">
        <v>187</v>
      </c>
      <c r="B4405" s="9" t="s">
        <v>42</v>
      </c>
      <c r="C4405" s="16"/>
      <c r="D4405" s="16"/>
      <c r="E4405" s="19">
        <f>E4401*0.1</f>
        <v>39890.844000000012</v>
      </c>
    </row>
    <row r="4406" spans="1:6" ht="11.25" customHeight="1" x14ac:dyDescent="0.2">
      <c r="A4406" s="8" t="s">
        <v>188</v>
      </c>
      <c r="B4406" s="9" t="s">
        <v>44</v>
      </c>
      <c r="C4406" s="16"/>
      <c r="D4406" s="16"/>
      <c r="E4406" s="19">
        <f>E4402*0.1</f>
        <v>33805.800000000003</v>
      </c>
    </row>
    <row r="4407" spans="1:6" ht="15" customHeight="1" x14ac:dyDescent="0.2">
      <c r="A4407" s="7" t="s">
        <v>45</v>
      </c>
      <c r="B4407" s="6" t="s">
        <v>189</v>
      </c>
      <c r="C4407" s="16"/>
      <c r="D4407" s="16"/>
      <c r="E4407" s="17">
        <f>E4408+E4409+E4410+E4411</f>
        <v>1243106.8799999999</v>
      </c>
    </row>
    <row r="4408" spans="1:6" ht="11.25" customHeight="1" x14ac:dyDescent="0.2">
      <c r="A4408" s="8" t="s">
        <v>47</v>
      </c>
      <c r="B4408" s="9" t="s">
        <v>48</v>
      </c>
      <c r="C4408" s="16">
        <f>2.25+0.65</f>
        <v>2.9</v>
      </c>
      <c r="D4408" s="16">
        <v>18781</v>
      </c>
      <c r="E4408" s="19">
        <f>ROUND(C4408*D4408,2)*12</f>
        <v>653578.80000000005</v>
      </c>
      <c r="F4408" s="20"/>
    </row>
    <row r="4409" spans="1:6" ht="11.25" customHeight="1" x14ac:dyDescent="0.2">
      <c r="A4409" s="8" t="s">
        <v>49</v>
      </c>
      <c r="B4409" s="9" t="s">
        <v>50</v>
      </c>
      <c r="C4409" s="16">
        <v>30.2</v>
      </c>
      <c r="D4409" s="16">
        <f>E4408</f>
        <v>653578.80000000005</v>
      </c>
      <c r="E4409" s="19">
        <f>ROUND(C4409*D4409/100,2)</f>
        <v>197380.8</v>
      </c>
    </row>
    <row r="4410" spans="1:6" ht="11.25" customHeight="1" x14ac:dyDescent="0.2">
      <c r="A4410" s="8" t="s">
        <v>51</v>
      </c>
      <c r="B4410" s="9" t="s">
        <v>52</v>
      </c>
      <c r="C4410" s="16"/>
      <c r="D4410" s="16"/>
      <c r="E4410" s="19">
        <f>E4408*0.5</f>
        <v>326789.40000000002</v>
      </c>
    </row>
    <row r="4411" spans="1:6" ht="11.25" customHeight="1" x14ac:dyDescent="0.2">
      <c r="A4411" s="8" t="s">
        <v>53</v>
      </c>
      <c r="B4411" s="9" t="s">
        <v>54</v>
      </c>
      <c r="C4411" s="16"/>
      <c r="D4411" s="16"/>
      <c r="E4411" s="19">
        <f>ROUND(E4408*0.1,2)</f>
        <v>65357.88</v>
      </c>
    </row>
    <row r="4412" spans="1:6" ht="20.100000000000001" customHeight="1" x14ac:dyDescent="0.2">
      <c r="A4412" s="5">
        <v>2</v>
      </c>
      <c r="B4412" s="6" t="s">
        <v>57</v>
      </c>
      <c r="C4412" s="16"/>
      <c r="D4412" s="16"/>
      <c r="E4412" s="17">
        <f>E4413+E4415+E4416+E4417+E4418+E4419+E4414</f>
        <v>1124115.93</v>
      </c>
    </row>
    <row r="4413" spans="1:6" ht="11.25" customHeight="1" x14ac:dyDescent="0.2">
      <c r="A4413" s="35" t="s">
        <v>58</v>
      </c>
      <c r="B4413" s="9" t="s">
        <v>204</v>
      </c>
      <c r="C4413" s="16">
        <v>928</v>
      </c>
      <c r="D4413" s="16">
        <f>E4413/C4413</f>
        <v>177.97</v>
      </c>
      <c r="E4413" s="19">
        <v>165156.16</v>
      </c>
    </row>
    <row r="4414" spans="1:6" ht="11.25" customHeight="1" x14ac:dyDescent="0.2">
      <c r="A4414" s="35" t="s">
        <v>60</v>
      </c>
      <c r="B4414" s="9" t="s">
        <v>195</v>
      </c>
      <c r="C4414" s="16">
        <v>928</v>
      </c>
      <c r="D4414" s="16">
        <f>E4414/C4414</f>
        <v>219.63343749999999</v>
      </c>
      <c r="E4414" s="19">
        <v>203819.83</v>
      </c>
    </row>
    <row r="4415" spans="1:6" ht="11.25" customHeight="1" x14ac:dyDescent="0.2">
      <c r="A4415" s="35" t="s">
        <v>62</v>
      </c>
      <c r="B4415" s="9" t="s">
        <v>196</v>
      </c>
      <c r="C4415" s="16">
        <v>294.39999999999998</v>
      </c>
      <c r="D4415" s="16">
        <f>E4415/C4415</f>
        <v>848.4012567934783</v>
      </c>
      <c r="E4415" s="19">
        <v>249769.33</v>
      </c>
    </row>
    <row r="4416" spans="1:6" ht="11.25" customHeight="1" x14ac:dyDescent="0.2">
      <c r="A4416" s="35" t="s">
        <v>64</v>
      </c>
      <c r="B4416" s="9" t="s">
        <v>63</v>
      </c>
      <c r="C4416" s="16">
        <f>E4416/D4416</f>
        <v>59436.468007312615</v>
      </c>
      <c r="D4416" s="16">
        <v>5.47</v>
      </c>
      <c r="E4416" s="19">
        <f>300850+24267.48</f>
        <v>325117.48</v>
      </c>
      <c r="F4416" s="20"/>
    </row>
    <row r="4417" spans="1:5" ht="11.25" customHeight="1" x14ac:dyDescent="0.2">
      <c r="A4417" s="35" t="s">
        <v>66</v>
      </c>
      <c r="B4417" s="9" t="s">
        <v>65</v>
      </c>
      <c r="C4417" s="16">
        <f>E4417/D4417</f>
        <v>2094.5080017618557</v>
      </c>
      <c r="D4417" s="16">
        <v>68.11</v>
      </c>
      <c r="E4417" s="19">
        <f>144735.45-2078.51</f>
        <v>142656.94</v>
      </c>
    </row>
    <row r="4418" spans="1:5" ht="11.25" customHeight="1" x14ac:dyDescent="0.2">
      <c r="A4418" s="35" t="s">
        <v>68</v>
      </c>
      <c r="B4418" s="9" t="s">
        <v>69</v>
      </c>
      <c r="C4418" s="16">
        <v>1922.4</v>
      </c>
      <c r="D4418" s="16">
        <f>E4418/C4418</f>
        <v>3.3499999999999996</v>
      </c>
      <c r="E4418" s="19">
        <v>6440.04</v>
      </c>
    </row>
    <row r="4419" spans="1:5" ht="11.25" customHeight="1" x14ac:dyDescent="0.2">
      <c r="A4419" s="35" t="s">
        <v>70</v>
      </c>
      <c r="B4419" s="9" t="s">
        <v>71</v>
      </c>
      <c r="C4419" s="16">
        <v>165.69</v>
      </c>
      <c r="D4419" s="16">
        <f>E4419/C4419</f>
        <v>188.03880741143101</v>
      </c>
      <c r="E4419" s="19">
        <v>31156.15</v>
      </c>
    </row>
    <row r="4420" spans="1:5" ht="20.100000000000001" customHeight="1" x14ac:dyDescent="0.2">
      <c r="A4420" s="5">
        <v>3</v>
      </c>
      <c r="B4420" s="6" t="s">
        <v>72</v>
      </c>
      <c r="C4420" s="16"/>
      <c r="D4420" s="16"/>
      <c r="E4420" s="17">
        <f>E4421+E4422+E4423+E4424+E4425+E4426+E4427+E4428+E4429+E4431+E4430</f>
        <v>620027.35958139924</v>
      </c>
    </row>
    <row r="4421" spans="1:5" ht="11.25" customHeight="1" x14ac:dyDescent="0.2">
      <c r="A4421" s="8" t="s">
        <v>73</v>
      </c>
      <c r="B4421" s="9" t="s">
        <v>74</v>
      </c>
      <c r="C4421" s="34">
        <v>7</v>
      </c>
      <c r="D4421" s="16">
        <f>E4421/C4421/12</f>
        <v>4235.327976190476</v>
      </c>
      <c r="E4421" s="19">
        <v>355767.55</v>
      </c>
    </row>
    <row r="4422" spans="1:5" ht="11.25" customHeight="1" x14ac:dyDescent="0.2">
      <c r="A4422" s="8" t="s">
        <v>75</v>
      </c>
      <c r="B4422" s="9" t="s">
        <v>76</v>
      </c>
      <c r="C4422" s="16"/>
      <c r="D4422" s="16"/>
      <c r="E4422" s="19">
        <v>0</v>
      </c>
    </row>
    <row r="4423" spans="1:5" ht="11.25" customHeight="1" x14ac:dyDescent="0.2">
      <c r="A4423" s="8" t="s">
        <v>77</v>
      </c>
      <c r="B4423" s="9" t="s">
        <v>78</v>
      </c>
      <c r="C4423" s="16"/>
      <c r="D4423" s="16"/>
      <c r="E4423" s="19">
        <v>0</v>
      </c>
    </row>
    <row r="4424" spans="1:5" ht="11.25" customHeight="1" x14ac:dyDescent="0.2">
      <c r="A4424" s="8" t="s">
        <v>79</v>
      </c>
      <c r="B4424" s="9" t="s">
        <v>80</v>
      </c>
      <c r="C4424" s="16">
        <v>12690.9</v>
      </c>
      <c r="D4424" s="16">
        <f>E4424/C4424</f>
        <v>4.1506252511642199</v>
      </c>
      <c r="E4424" s="19">
        <v>52675.17</v>
      </c>
    </row>
    <row r="4425" spans="1:5" ht="11.25" customHeight="1" x14ac:dyDescent="0.2">
      <c r="A4425" s="8" t="s">
        <v>81</v>
      </c>
      <c r="B4425" s="9" t="s">
        <v>82</v>
      </c>
      <c r="C4425" s="34">
        <v>502</v>
      </c>
      <c r="D4425" s="16">
        <f>E4425/C4425</f>
        <v>71.702729083665332</v>
      </c>
      <c r="E4425" s="19">
        <v>35994.769999999997</v>
      </c>
    </row>
    <row r="4426" spans="1:5" ht="11.25" customHeight="1" x14ac:dyDescent="0.2">
      <c r="A4426" s="8" t="s">
        <v>83</v>
      </c>
      <c r="B4426" s="9" t="s">
        <v>194</v>
      </c>
      <c r="C4426" s="34">
        <v>251</v>
      </c>
      <c r="D4426" s="16">
        <f>E4426/C4426</f>
        <v>86.268247011952198</v>
      </c>
      <c r="E4426" s="19">
        <v>21653.33</v>
      </c>
    </row>
    <row r="4427" spans="1:5" ht="11.25" customHeight="1" x14ac:dyDescent="0.2">
      <c r="A4427" s="8" t="s">
        <v>85</v>
      </c>
      <c r="B4427" s="9" t="s">
        <v>86</v>
      </c>
      <c r="C4427" s="34"/>
      <c r="D4427" s="16"/>
      <c r="E4427" s="19">
        <v>0</v>
      </c>
    </row>
    <row r="4428" spans="1:5" ht="11.25" customHeight="1" x14ac:dyDescent="0.2">
      <c r="A4428" s="8" t="s">
        <v>87</v>
      </c>
      <c r="B4428" s="9" t="s">
        <v>88</v>
      </c>
      <c r="C4428" s="34">
        <v>250</v>
      </c>
      <c r="D4428" s="16">
        <f>E4428/C4428</f>
        <v>538.19931999999994</v>
      </c>
      <c r="E4428" s="19">
        <v>134549.82999999999</v>
      </c>
    </row>
    <row r="4429" spans="1:5" ht="11.25" customHeight="1" x14ac:dyDescent="0.2">
      <c r="A4429" s="8" t="s">
        <v>89</v>
      </c>
      <c r="B4429" s="9" t="s">
        <v>90</v>
      </c>
      <c r="C4429" s="16"/>
      <c r="D4429" s="16"/>
      <c r="E4429" s="19">
        <v>0</v>
      </c>
    </row>
    <row r="4430" spans="1:5" ht="11.25" customHeight="1" x14ac:dyDescent="0.2">
      <c r="A4430" s="8" t="s">
        <v>91</v>
      </c>
      <c r="B4430" s="9" t="s">
        <v>202</v>
      </c>
      <c r="C4430" s="34">
        <v>7</v>
      </c>
      <c r="D4430" s="16">
        <f>E4430/C4430</f>
        <v>2769.5299401998959</v>
      </c>
      <c r="E4430" s="19">
        <f>2826.16*7*1.2*0.81663515754</f>
        <v>19386.709581399271</v>
      </c>
    </row>
    <row r="4431" spans="1:5" ht="11.25" customHeight="1" x14ac:dyDescent="0.2">
      <c r="A4431" s="8" t="s">
        <v>203</v>
      </c>
      <c r="B4431" s="9" t="s">
        <v>92</v>
      </c>
      <c r="C4431" s="16"/>
      <c r="D4431" s="16"/>
      <c r="E4431" s="19">
        <v>0</v>
      </c>
    </row>
    <row r="4432" spans="1:5" ht="15" customHeight="1" x14ac:dyDescent="0.2">
      <c r="A4432" s="5">
        <v>4</v>
      </c>
      <c r="B4432" s="6" t="s">
        <v>193</v>
      </c>
      <c r="C4432" s="16"/>
      <c r="D4432" s="16"/>
      <c r="E4432" s="17">
        <f>ROUND(F4433/1.1*0.1,2)</f>
        <v>402047.71</v>
      </c>
    </row>
    <row r="4433" spans="1:6" ht="18.75" customHeight="1" x14ac:dyDescent="0.2">
      <c r="A4433" s="10"/>
      <c r="B4433" s="11" t="s">
        <v>94</v>
      </c>
      <c r="C4433" s="21"/>
      <c r="D4433" s="21"/>
      <c r="E4433" s="17">
        <f>E4399+E4412+E4420+E4432</f>
        <v>4422524.8335813992</v>
      </c>
      <c r="F4433" s="25">
        <f>E4386*29.04*12</f>
        <v>4422524.8319999995</v>
      </c>
    </row>
    <row r="4434" spans="1:6" ht="15" customHeight="1" x14ac:dyDescent="0.25">
      <c r="A4434" s="10"/>
      <c r="B4434" s="11" t="s">
        <v>199</v>
      </c>
      <c r="C4434" s="21"/>
      <c r="D4434" s="21"/>
      <c r="E4434" s="22">
        <v>29.04</v>
      </c>
    </row>
    <row r="4435" spans="1:6" ht="10.95" customHeight="1" x14ac:dyDescent="0.2"/>
    <row r="4436" spans="1:6" ht="10.95" customHeight="1" x14ac:dyDescent="0.2"/>
    <row r="4437" spans="1:6" ht="10.95" customHeight="1" x14ac:dyDescent="0.2"/>
    <row r="4438" spans="1:6" ht="15" customHeight="1" x14ac:dyDescent="0.25">
      <c r="B4438" s="12" t="s">
        <v>96</v>
      </c>
    </row>
    <row r="4439" spans="1:6" ht="12" customHeight="1" x14ac:dyDescent="0.2"/>
    <row r="4440" spans="1:6" ht="13.2" customHeight="1" x14ac:dyDescent="0.25">
      <c r="B4440" s="3" t="s">
        <v>97</v>
      </c>
    </row>
    <row r="4441" spans="1:6" ht="7.95" customHeight="1" x14ac:dyDescent="0.2"/>
    <row r="4442" spans="1:6" ht="12" customHeight="1" x14ac:dyDescent="0.25">
      <c r="B4442" s="41" t="s">
        <v>100</v>
      </c>
      <c r="C4442" s="41"/>
      <c r="D4442" s="41"/>
      <c r="E4442" s="41"/>
    </row>
    <row r="4443" spans="1:6" ht="10.95" customHeight="1" x14ac:dyDescent="0.2"/>
    <row r="4444" spans="1:6" ht="10.95" customHeight="1" x14ac:dyDescent="0.2"/>
    <row r="4445" spans="1:6" ht="10.95" customHeight="1" x14ac:dyDescent="0.2"/>
    <row r="4446" spans="1:6" ht="16.2" customHeight="1" x14ac:dyDescent="0.2">
      <c r="A4446" s="39" t="s">
        <v>0</v>
      </c>
      <c r="B4446" s="39"/>
      <c r="C4446" s="39"/>
      <c r="D4446" s="39"/>
      <c r="E4446" s="39"/>
    </row>
    <row r="4447" spans="1:6" ht="10.95" customHeight="1" x14ac:dyDescent="0.2">
      <c r="A4447" s="40" t="s">
        <v>1</v>
      </c>
      <c r="B4447" s="40"/>
      <c r="C4447" s="40"/>
      <c r="D4447" s="40"/>
      <c r="E4447" s="40"/>
    </row>
    <row r="4448" spans="1:6" ht="13.2" customHeight="1" x14ac:dyDescent="0.2">
      <c r="A4448" s="40" t="s">
        <v>198</v>
      </c>
      <c r="B4448" s="40"/>
      <c r="C4448" s="40"/>
      <c r="D4448" s="40"/>
      <c r="E4448" s="40"/>
    </row>
    <row r="4449" spans="1:5" ht="10.95" customHeight="1" x14ac:dyDescent="0.2"/>
    <row r="4450" spans="1:5" ht="10.95" customHeight="1" x14ac:dyDescent="0.2">
      <c r="C4450" s="42" t="s">
        <v>3</v>
      </c>
      <c r="D4450" s="42"/>
      <c r="E4450" s="42"/>
    </row>
    <row r="4451" spans="1:5" ht="12" customHeight="1" x14ac:dyDescent="0.2">
      <c r="D4451" s="26" t="s">
        <v>4</v>
      </c>
      <c r="E4451" s="24">
        <v>12552.8</v>
      </c>
    </row>
    <row r="4452" spans="1:5" ht="12" customHeight="1" x14ac:dyDescent="0.2">
      <c r="D4452" s="26" t="s">
        <v>5</v>
      </c>
      <c r="E4452" s="23">
        <v>148.1</v>
      </c>
    </row>
    <row r="4453" spans="1:5" ht="12" customHeight="1" x14ac:dyDescent="0.2">
      <c r="D4453" s="26" t="s">
        <v>6</v>
      </c>
      <c r="E4453" s="30">
        <v>7</v>
      </c>
    </row>
    <row r="4454" spans="1:5" ht="12" customHeight="1" x14ac:dyDescent="0.2">
      <c r="D4454" s="26" t="s">
        <v>7</v>
      </c>
      <c r="E4454" s="30">
        <v>9</v>
      </c>
    </row>
    <row r="4455" spans="1:5" ht="12" customHeight="1" x14ac:dyDescent="0.2">
      <c r="D4455" s="26" t="s">
        <v>8</v>
      </c>
      <c r="E4455" s="30">
        <v>250</v>
      </c>
    </row>
    <row r="4456" spans="1:5" ht="12" customHeight="1" x14ac:dyDescent="0.2">
      <c r="D4456" s="26" t="s">
        <v>9</v>
      </c>
      <c r="E4456" s="30">
        <v>774</v>
      </c>
    </row>
    <row r="4457" spans="1:5" ht="12" customHeight="1" x14ac:dyDescent="0.2">
      <c r="D4457" s="26" t="s">
        <v>10</v>
      </c>
      <c r="E4457" s="30">
        <v>7</v>
      </c>
    </row>
    <row r="4458" spans="1:5" ht="12" customHeight="1" x14ac:dyDescent="0.2">
      <c r="D4458" s="26" t="s">
        <v>11</v>
      </c>
      <c r="E4458" s="30">
        <v>0</v>
      </c>
    </row>
    <row r="4459" spans="1:5" ht="12" customHeight="1" x14ac:dyDescent="0.2">
      <c r="D4459" s="26" t="s">
        <v>12</v>
      </c>
      <c r="E4459" s="30">
        <v>0</v>
      </c>
    </row>
    <row r="4460" spans="1:5" ht="12" customHeight="1" x14ac:dyDescent="0.2">
      <c r="D4460" s="26" t="s">
        <v>13</v>
      </c>
      <c r="E4460" s="30">
        <v>1410</v>
      </c>
    </row>
    <row r="4461" spans="1:5" ht="12" customHeight="1" x14ac:dyDescent="0.25">
      <c r="A4461" s="2" t="s">
        <v>14</v>
      </c>
      <c r="B4461" s="3" t="s">
        <v>183</v>
      </c>
    </row>
    <row r="4462" spans="1:5" ht="10.95" customHeight="1" x14ac:dyDescent="0.2"/>
    <row r="4463" spans="1:5" ht="45" customHeight="1" x14ac:dyDescent="0.2">
      <c r="A4463" s="4" t="s">
        <v>15</v>
      </c>
      <c r="B4463" s="4" t="s">
        <v>131</v>
      </c>
      <c r="C4463" s="27" t="s">
        <v>17</v>
      </c>
      <c r="D4463" s="27" t="s">
        <v>103</v>
      </c>
      <c r="E4463" s="27" t="s">
        <v>19</v>
      </c>
    </row>
    <row r="4464" spans="1:5" ht="31.5" customHeight="1" x14ac:dyDescent="0.2">
      <c r="A4464" s="5">
        <v>1</v>
      </c>
      <c r="B4464" s="6" t="s">
        <v>190</v>
      </c>
      <c r="C4464" s="16"/>
      <c r="D4464" s="16"/>
      <c r="E4464" s="17">
        <f>E4465+E4472</f>
        <v>2363800.696</v>
      </c>
    </row>
    <row r="4465" spans="1:6" ht="15" customHeight="1" x14ac:dyDescent="0.2">
      <c r="A4465" s="7" t="s">
        <v>21</v>
      </c>
      <c r="B4465" s="6" t="s">
        <v>132</v>
      </c>
      <c r="C4465" s="16"/>
      <c r="D4465" s="16"/>
      <c r="E4465" s="17">
        <f>SUM(E4466:E4471)</f>
        <v>1042084.066</v>
      </c>
    </row>
    <row r="4466" spans="1:6" ht="11.25" customHeight="1" x14ac:dyDescent="0.2">
      <c r="A4466" s="15" t="s">
        <v>23</v>
      </c>
      <c r="B4466" s="9" t="s">
        <v>34</v>
      </c>
      <c r="C4466" s="16">
        <v>1.61</v>
      </c>
      <c r="D4466" s="16">
        <v>18781</v>
      </c>
      <c r="E4466" s="19">
        <f>ROUND(C4466*D4466,2)*12</f>
        <v>362848.92</v>
      </c>
      <c r="F4466" s="20"/>
    </row>
    <row r="4467" spans="1:6" ht="11.25" customHeight="1" x14ac:dyDescent="0.2">
      <c r="A4467" s="8" t="s">
        <v>31</v>
      </c>
      <c r="B4467" s="9" t="s">
        <v>36</v>
      </c>
      <c r="C4467" s="16">
        <v>1.81</v>
      </c>
      <c r="D4467" s="16">
        <v>18781</v>
      </c>
      <c r="E4467" s="19">
        <f>ROUND(C4467*D4467,2)*12</f>
        <v>407923.32</v>
      </c>
    </row>
    <row r="4468" spans="1:6" ht="11.25" customHeight="1" x14ac:dyDescent="0.2">
      <c r="A4468" s="8" t="s">
        <v>121</v>
      </c>
      <c r="B4468" s="9" t="s">
        <v>38</v>
      </c>
      <c r="C4468" s="16">
        <v>30.2</v>
      </c>
      <c r="D4468" s="16">
        <f>E4466</f>
        <v>362848.92</v>
      </c>
      <c r="E4468" s="19">
        <f>ROUND(C4468*D4468/100,2)</f>
        <v>109580.37</v>
      </c>
    </row>
    <row r="4469" spans="1:6" ht="11.25" customHeight="1" x14ac:dyDescent="0.2">
      <c r="A4469" s="8" t="s">
        <v>186</v>
      </c>
      <c r="B4469" s="9" t="s">
        <v>40</v>
      </c>
      <c r="C4469" s="16">
        <v>30.2</v>
      </c>
      <c r="D4469" s="16">
        <f>E4467</f>
        <v>407923.32</v>
      </c>
      <c r="E4469" s="19">
        <f>ROUND(C4469*D4469/100,2)</f>
        <v>123192.84</v>
      </c>
    </row>
    <row r="4470" spans="1:6" ht="11.25" customHeight="1" x14ac:dyDescent="0.2">
      <c r="A4470" s="8" t="s">
        <v>187</v>
      </c>
      <c r="B4470" s="9" t="s">
        <v>42</v>
      </c>
      <c r="C4470" s="16"/>
      <c r="D4470" s="16"/>
      <c r="E4470" s="19">
        <f>E4466*0.05</f>
        <v>18142.446</v>
      </c>
    </row>
    <row r="4471" spans="1:6" ht="11.25" customHeight="1" x14ac:dyDescent="0.2">
      <c r="A4471" s="8" t="s">
        <v>188</v>
      </c>
      <c r="B4471" s="9" t="s">
        <v>44</v>
      </c>
      <c r="C4471" s="16"/>
      <c r="D4471" s="16"/>
      <c r="E4471" s="19">
        <f>ROUND(E4467*0.05,2)</f>
        <v>20396.169999999998</v>
      </c>
    </row>
    <row r="4472" spans="1:6" ht="15" customHeight="1" x14ac:dyDescent="0.2">
      <c r="A4472" s="7" t="s">
        <v>45</v>
      </c>
      <c r="B4472" s="6" t="s">
        <v>189</v>
      </c>
      <c r="C4472" s="16"/>
      <c r="D4472" s="16"/>
      <c r="E4472" s="17">
        <f>E4473+E4474+E4475+E4476</f>
        <v>1321716.6300000001</v>
      </c>
    </row>
    <row r="4473" spans="1:6" ht="11.25" customHeight="1" x14ac:dyDescent="0.2">
      <c r="A4473" s="8" t="s">
        <v>47</v>
      </c>
      <c r="B4473" s="9" t="s">
        <v>48</v>
      </c>
      <c r="C4473" s="16">
        <v>3.55</v>
      </c>
      <c r="D4473" s="16">
        <v>18781</v>
      </c>
      <c r="E4473" s="19">
        <f>ROUND(C4473*D4473,2)*12</f>
        <v>800070.60000000009</v>
      </c>
      <c r="F4473" s="20"/>
    </row>
    <row r="4474" spans="1:6" ht="11.25" customHeight="1" x14ac:dyDescent="0.2">
      <c r="A4474" s="8" t="s">
        <v>49</v>
      </c>
      <c r="B4474" s="9" t="s">
        <v>50</v>
      </c>
      <c r="C4474" s="16">
        <v>30.2</v>
      </c>
      <c r="D4474" s="16">
        <f>E4473</f>
        <v>800070.60000000009</v>
      </c>
      <c r="E4474" s="19">
        <f>ROUND(C4474*D4474/100,2)</f>
        <v>241621.32</v>
      </c>
    </row>
    <row r="4475" spans="1:6" ht="11.25" customHeight="1" x14ac:dyDescent="0.2">
      <c r="A4475" s="8" t="s">
        <v>51</v>
      </c>
      <c r="B4475" s="9" t="s">
        <v>52</v>
      </c>
      <c r="C4475" s="16"/>
      <c r="D4475" s="16"/>
      <c r="E4475" s="19">
        <f>E4473*0.3</f>
        <v>240021.18000000002</v>
      </c>
    </row>
    <row r="4476" spans="1:6" ht="11.25" customHeight="1" x14ac:dyDescent="0.2">
      <c r="A4476" s="8" t="s">
        <v>53</v>
      </c>
      <c r="B4476" s="9" t="s">
        <v>54</v>
      </c>
      <c r="C4476" s="16"/>
      <c r="D4476" s="16"/>
      <c r="E4476" s="19">
        <f>ROUND(E4473*0.05,2)</f>
        <v>40003.53</v>
      </c>
    </row>
    <row r="4477" spans="1:6" ht="20.100000000000001" customHeight="1" x14ac:dyDescent="0.2">
      <c r="A4477" s="5">
        <v>2</v>
      </c>
      <c r="B4477" s="6" t="s">
        <v>57</v>
      </c>
      <c r="C4477" s="16"/>
      <c r="D4477" s="16"/>
      <c r="E4477" s="17">
        <f>E4478+E4480+E4481+E4482+E4483+E4484+E4479</f>
        <v>1167371.4000000001</v>
      </c>
    </row>
    <row r="4478" spans="1:6" ht="11.25" customHeight="1" x14ac:dyDescent="0.2">
      <c r="A4478" s="35" t="s">
        <v>58</v>
      </c>
      <c r="B4478" s="9" t="s">
        <v>204</v>
      </c>
      <c r="C4478" s="16">
        <v>1122.3</v>
      </c>
      <c r="D4478" s="16">
        <f>E4478/C4478</f>
        <v>177.96999910897267</v>
      </c>
      <c r="E4478" s="19">
        <v>199735.73</v>
      </c>
    </row>
    <row r="4479" spans="1:6" ht="11.25" customHeight="1" x14ac:dyDescent="0.2">
      <c r="A4479" s="35" t="s">
        <v>60</v>
      </c>
      <c r="B4479" s="9" t="s">
        <v>195</v>
      </c>
      <c r="C4479" s="16">
        <v>1122.3</v>
      </c>
      <c r="D4479" s="16">
        <f>E4479/C4479</f>
        <v>219.63343134634235</v>
      </c>
      <c r="E4479" s="19">
        <v>246494.6</v>
      </c>
    </row>
    <row r="4480" spans="1:6" ht="11.25" customHeight="1" x14ac:dyDescent="0.2">
      <c r="A4480" s="35" t="s">
        <v>62</v>
      </c>
      <c r="B4480" s="9" t="s">
        <v>196</v>
      </c>
      <c r="C4480" s="16">
        <v>356.04</v>
      </c>
      <c r="D4480" s="16">
        <f>E4480/C4480</f>
        <v>848.40124705089318</v>
      </c>
      <c r="E4480" s="19">
        <v>302064.78000000003</v>
      </c>
    </row>
    <row r="4481" spans="1:6" ht="11.25" customHeight="1" x14ac:dyDescent="0.2">
      <c r="A4481" s="35" t="s">
        <v>64</v>
      </c>
      <c r="B4481" s="9" t="s">
        <v>63</v>
      </c>
      <c r="C4481" s="16">
        <f>E4481/D4481</f>
        <v>46031.402193784277</v>
      </c>
      <c r="D4481" s="16">
        <v>5.47</v>
      </c>
      <c r="E4481" s="19">
        <f>388370-136578.23</f>
        <v>251791.77</v>
      </c>
      <c r="F4481" s="20"/>
    </row>
    <row r="4482" spans="1:6" ht="11.25" customHeight="1" x14ac:dyDescent="0.2">
      <c r="A4482" s="35" t="s">
        <v>66</v>
      </c>
      <c r="B4482" s="9" t="s">
        <v>65</v>
      </c>
      <c r="C4482" s="16">
        <f>E4482/D4482</f>
        <v>1894.0772280135077</v>
      </c>
      <c r="D4482" s="16">
        <v>68.11</v>
      </c>
      <c r="E4482" s="19">
        <f>130800.14-1794.54</f>
        <v>129005.6</v>
      </c>
    </row>
    <row r="4483" spans="1:6" ht="11.25" customHeight="1" x14ac:dyDescent="0.2">
      <c r="A4483" s="35" t="s">
        <v>68</v>
      </c>
      <c r="B4483" s="9" t="s">
        <v>69</v>
      </c>
      <c r="C4483" s="16">
        <v>2126.1999999999998</v>
      </c>
      <c r="D4483" s="16">
        <f>E4483/C4483</f>
        <v>3.3500000000000005</v>
      </c>
      <c r="E4483" s="19">
        <v>7122.77</v>
      </c>
    </row>
    <row r="4484" spans="1:6" ht="11.25" customHeight="1" x14ac:dyDescent="0.2">
      <c r="A4484" s="35" t="s">
        <v>70</v>
      </c>
      <c r="B4484" s="9" t="s">
        <v>71</v>
      </c>
      <c r="C4484" s="16">
        <v>165.69</v>
      </c>
      <c r="D4484" s="16">
        <f>E4484/C4484</f>
        <v>188.03880741143101</v>
      </c>
      <c r="E4484" s="19">
        <v>31156.15</v>
      </c>
    </row>
    <row r="4485" spans="1:6" ht="20.100000000000001" customHeight="1" x14ac:dyDescent="0.2">
      <c r="A4485" s="5">
        <v>3</v>
      </c>
      <c r="B4485" s="6" t="s">
        <v>72</v>
      </c>
      <c r="C4485" s="16"/>
      <c r="D4485" s="16"/>
      <c r="E4485" s="17">
        <f>E4486+E4487+E4488+E4489+E4490+E4491+E4492+E4493+E4494+E4496+E4495</f>
        <v>519198.03376079956</v>
      </c>
    </row>
    <row r="4486" spans="1:6" ht="11.25" customHeight="1" x14ac:dyDescent="0.2">
      <c r="A4486" s="8" t="s">
        <v>73</v>
      </c>
      <c r="B4486" s="9" t="s">
        <v>74</v>
      </c>
      <c r="C4486" s="34">
        <v>7</v>
      </c>
      <c r="D4486" s="16">
        <f>E4486/C4486/12</f>
        <v>3064.0079761904763</v>
      </c>
      <c r="E4486" s="19">
        <v>257376.67</v>
      </c>
    </row>
    <row r="4487" spans="1:6" ht="11.25" customHeight="1" x14ac:dyDescent="0.2">
      <c r="A4487" s="8" t="s">
        <v>75</v>
      </c>
      <c r="B4487" s="9" t="s">
        <v>76</v>
      </c>
      <c r="C4487" s="16"/>
      <c r="D4487" s="16"/>
      <c r="E4487" s="19">
        <v>0</v>
      </c>
    </row>
    <row r="4488" spans="1:6" ht="11.25" customHeight="1" x14ac:dyDescent="0.2">
      <c r="A4488" s="8" t="s">
        <v>77</v>
      </c>
      <c r="B4488" s="9" t="s">
        <v>78</v>
      </c>
      <c r="C4488" s="16"/>
      <c r="D4488" s="16"/>
      <c r="E4488" s="19">
        <v>0</v>
      </c>
    </row>
    <row r="4489" spans="1:6" ht="11.25" customHeight="1" x14ac:dyDescent="0.2">
      <c r="A4489" s="8" t="s">
        <v>79</v>
      </c>
      <c r="B4489" s="9" t="s">
        <v>80</v>
      </c>
      <c r="C4489" s="16">
        <v>12552.8</v>
      </c>
      <c r="D4489" s="16">
        <f>E4489/C4489</f>
        <v>4.1990328850933665</v>
      </c>
      <c r="E4489" s="19">
        <v>52709.62</v>
      </c>
    </row>
    <row r="4490" spans="1:6" ht="11.25" customHeight="1" x14ac:dyDescent="0.2">
      <c r="A4490" s="8" t="s">
        <v>81</v>
      </c>
      <c r="B4490" s="9" t="s">
        <v>82</v>
      </c>
      <c r="C4490" s="34">
        <v>500</v>
      </c>
      <c r="D4490" s="16">
        <f>E4490/C4490</f>
        <v>71.729179999999999</v>
      </c>
      <c r="E4490" s="19">
        <v>35864.589999999997</v>
      </c>
    </row>
    <row r="4491" spans="1:6" ht="11.25" customHeight="1" x14ac:dyDescent="0.2">
      <c r="A4491" s="8" t="s">
        <v>83</v>
      </c>
      <c r="B4491" s="9" t="s">
        <v>194</v>
      </c>
      <c r="C4491" s="34">
        <v>250</v>
      </c>
      <c r="D4491" s="16">
        <f>E4491/C4491</f>
        <v>86.465999999999994</v>
      </c>
      <c r="E4491" s="19">
        <v>21616.5</v>
      </c>
    </row>
    <row r="4492" spans="1:6" ht="11.25" customHeight="1" x14ac:dyDescent="0.2">
      <c r="A4492" s="8" t="s">
        <v>85</v>
      </c>
      <c r="B4492" s="9" t="s">
        <v>86</v>
      </c>
      <c r="C4492" s="34"/>
      <c r="D4492" s="16"/>
      <c r="E4492" s="19">
        <v>0</v>
      </c>
    </row>
    <row r="4493" spans="1:6" ht="11.25" customHeight="1" x14ac:dyDescent="0.2">
      <c r="A4493" s="8" t="s">
        <v>87</v>
      </c>
      <c r="B4493" s="9" t="s">
        <v>88</v>
      </c>
      <c r="C4493" s="34">
        <v>250</v>
      </c>
      <c r="D4493" s="16">
        <f>E4493/C4493</f>
        <v>536.67836</v>
      </c>
      <c r="E4493" s="19">
        <v>134169.59</v>
      </c>
    </row>
    <row r="4494" spans="1:6" ht="11.25" customHeight="1" x14ac:dyDescent="0.2">
      <c r="A4494" s="8" t="s">
        <v>89</v>
      </c>
      <c r="B4494" s="9" t="s">
        <v>90</v>
      </c>
      <c r="C4494" s="16"/>
      <c r="D4494" s="16"/>
      <c r="E4494" s="19">
        <v>0</v>
      </c>
    </row>
    <row r="4495" spans="1:6" ht="11.25" customHeight="1" x14ac:dyDescent="0.2">
      <c r="A4495" s="8" t="s">
        <v>91</v>
      </c>
      <c r="B4495" s="9" t="s">
        <v>202</v>
      </c>
      <c r="C4495" s="34">
        <v>7</v>
      </c>
      <c r="D4495" s="16">
        <f>E4495/C4495</f>
        <v>2494.4376801142257</v>
      </c>
      <c r="E4495" s="19">
        <f>1773.04*3*1.2+2826.16*4*1.2*0.81663515754</f>
        <v>17461.063760799581</v>
      </c>
    </row>
    <row r="4496" spans="1:6" ht="11.25" customHeight="1" x14ac:dyDescent="0.2">
      <c r="A4496" s="8" t="s">
        <v>203</v>
      </c>
      <c r="B4496" s="9" t="s">
        <v>92</v>
      </c>
      <c r="C4496" s="16"/>
      <c r="D4496" s="16"/>
      <c r="E4496" s="19">
        <v>0</v>
      </c>
    </row>
    <row r="4497" spans="1:6" ht="15" customHeight="1" x14ac:dyDescent="0.2">
      <c r="A4497" s="5">
        <v>4</v>
      </c>
      <c r="B4497" s="6" t="s">
        <v>193</v>
      </c>
      <c r="C4497" s="16"/>
      <c r="D4497" s="16"/>
      <c r="E4497" s="17">
        <f>ROUND(F4498/1.08*0.08,2)</f>
        <v>324029.61</v>
      </c>
    </row>
    <row r="4498" spans="1:6" ht="18.75" customHeight="1" x14ac:dyDescent="0.2">
      <c r="A4498" s="10"/>
      <c r="B4498" s="11" t="s">
        <v>94</v>
      </c>
      <c r="C4498" s="21"/>
      <c r="D4498" s="21"/>
      <c r="E4498" s="17">
        <f>E4464+E4477+E4485+E4497</f>
        <v>4374399.7397607993</v>
      </c>
      <c r="F4498" s="25">
        <f>E4451*29.04*12</f>
        <v>4374399.7439999999</v>
      </c>
    </row>
    <row r="4499" spans="1:6" ht="15" customHeight="1" x14ac:dyDescent="0.25">
      <c r="A4499" s="10"/>
      <c r="B4499" s="11" t="s">
        <v>199</v>
      </c>
      <c r="C4499" s="21"/>
      <c r="D4499" s="21"/>
      <c r="E4499" s="22">
        <v>29.04</v>
      </c>
    </row>
    <row r="4500" spans="1:6" ht="10.95" customHeight="1" x14ac:dyDescent="0.2"/>
    <row r="4501" spans="1:6" ht="10.95" customHeight="1" x14ac:dyDescent="0.2"/>
    <row r="4502" spans="1:6" ht="10.95" customHeight="1" x14ac:dyDescent="0.2"/>
    <row r="4503" spans="1:6" ht="15" customHeight="1" x14ac:dyDescent="0.25">
      <c r="B4503" s="12" t="s">
        <v>96</v>
      </c>
    </row>
    <row r="4504" spans="1:6" ht="12" customHeight="1" x14ac:dyDescent="0.2"/>
    <row r="4505" spans="1:6" ht="13.2" customHeight="1" x14ac:dyDescent="0.25">
      <c r="B4505" s="3" t="s">
        <v>97</v>
      </c>
    </row>
    <row r="4506" spans="1:6" ht="7.95" customHeight="1" x14ac:dyDescent="0.2"/>
    <row r="4507" spans="1:6" ht="12" customHeight="1" x14ac:dyDescent="0.25">
      <c r="B4507" s="41" t="s">
        <v>100</v>
      </c>
      <c r="C4507" s="41"/>
      <c r="D4507" s="41"/>
      <c r="E4507" s="41"/>
    </row>
    <row r="4508" spans="1:6" ht="10.95" customHeight="1" x14ac:dyDescent="0.2"/>
    <row r="4509" spans="1:6" ht="10.95" customHeight="1" x14ac:dyDescent="0.2"/>
    <row r="4510" spans="1:6" ht="10.95" customHeight="1" x14ac:dyDescent="0.2"/>
    <row r="4511" spans="1:6" ht="16.2" customHeight="1" x14ac:dyDescent="0.2">
      <c r="A4511" s="39" t="s">
        <v>0</v>
      </c>
      <c r="B4511" s="39"/>
      <c r="C4511" s="39"/>
      <c r="D4511" s="39"/>
      <c r="E4511" s="39"/>
    </row>
    <row r="4512" spans="1:6" ht="10.95" customHeight="1" x14ac:dyDescent="0.2">
      <c r="A4512" s="40" t="s">
        <v>1</v>
      </c>
      <c r="B4512" s="40"/>
      <c r="C4512" s="40"/>
      <c r="D4512" s="40"/>
      <c r="E4512" s="40"/>
    </row>
    <row r="4513" spans="1:5" ht="13.2" customHeight="1" x14ac:dyDescent="0.2">
      <c r="A4513" s="40" t="s">
        <v>198</v>
      </c>
      <c r="B4513" s="40"/>
      <c r="C4513" s="40"/>
      <c r="D4513" s="40"/>
      <c r="E4513" s="40"/>
    </row>
    <row r="4514" spans="1:5" ht="10.95" customHeight="1" x14ac:dyDescent="0.2"/>
    <row r="4515" spans="1:5" ht="10.95" customHeight="1" x14ac:dyDescent="0.2">
      <c r="C4515" s="42" t="s">
        <v>3</v>
      </c>
      <c r="D4515" s="42"/>
      <c r="E4515" s="42"/>
    </row>
    <row r="4516" spans="1:5" ht="12" customHeight="1" x14ac:dyDescent="0.2">
      <c r="D4516" s="26" t="s">
        <v>4</v>
      </c>
      <c r="E4516" s="24">
        <v>12726.3</v>
      </c>
    </row>
    <row r="4517" spans="1:5" ht="12" customHeight="1" x14ac:dyDescent="0.2">
      <c r="D4517" s="26" t="s">
        <v>5</v>
      </c>
      <c r="E4517" s="23">
        <v>403.1</v>
      </c>
    </row>
    <row r="4518" spans="1:5" ht="12" customHeight="1" x14ac:dyDescent="0.2">
      <c r="D4518" s="26" t="s">
        <v>6</v>
      </c>
      <c r="E4518" s="30">
        <v>7</v>
      </c>
    </row>
    <row r="4519" spans="1:5" ht="12" customHeight="1" x14ac:dyDescent="0.2">
      <c r="D4519" s="26" t="s">
        <v>7</v>
      </c>
      <c r="E4519" s="30">
        <v>9</v>
      </c>
    </row>
    <row r="4520" spans="1:5" ht="12" customHeight="1" x14ac:dyDescent="0.2">
      <c r="D4520" s="26" t="s">
        <v>8</v>
      </c>
      <c r="E4520" s="30">
        <v>247</v>
      </c>
    </row>
    <row r="4521" spans="1:5" ht="12" customHeight="1" x14ac:dyDescent="0.2">
      <c r="D4521" s="26" t="s">
        <v>9</v>
      </c>
      <c r="E4521" s="30">
        <v>610</v>
      </c>
    </row>
    <row r="4522" spans="1:5" ht="12" customHeight="1" x14ac:dyDescent="0.2">
      <c r="D4522" s="26" t="s">
        <v>10</v>
      </c>
      <c r="E4522" s="30">
        <v>7</v>
      </c>
    </row>
    <row r="4523" spans="1:5" ht="12" customHeight="1" x14ac:dyDescent="0.2">
      <c r="D4523" s="26" t="s">
        <v>11</v>
      </c>
      <c r="E4523" s="30">
        <v>0</v>
      </c>
    </row>
    <row r="4524" spans="1:5" ht="12" customHeight="1" x14ac:dyDescent="0.2">
      <c r="D4524" s="26" t="s">
        <v>12</v>
      </c>
      <c r="E4524" s="30">
        <v>0</v>
      </c>
    </row>
    <row r="4525" spans="1:5" ht="12" customHeight="1" x14ac:dyDescent="0.2">
      <c r="D4525" s="26" t="s">
        <v>13</v>
      </c>
      <c r="E4525" s="30">
        <v>1492</v>
      </c>
    </row>
    <row r="4526" spans="1:5" ht="12" customHeight="1" x14ac:dyDescent="0.25">
      <c r="A4526" s="2" t="s">
        <v>14</v>
      </c>
      <c r="B4526" s="3" t="s">
        <v>135</v>
      </c>
    </row>
    <row r="4527" spans="1:5" ht="10.95" customHeight="1" x14ac:dyDescent="0.2"/>
    <row r="4528" spans="1:5" ht="45" customHeight="1" x14ac:dyDescent="0.2">
      <c r="A4528" s="4" t="s">
        <v>15</v>
      </c>
      <c r="B4528" s="4" t="s">
        <v>131</v>
      </c>
      <c r="C4528" s="27" t="s">
        <v>17</v>
      </c>
      <c r="D4528" s="27" t="s">
        <v>103</v>
      </c>
      <c r="E4528" s="27" t="s">
        <v>19</v>
      </c>
    </row>
    <row r="4529" spans="1:6" ht="31.5" customHeight="1" x14ac:dyDescent="0.2">
      <c r="A4529" s="5">
        <v>1</v>
      </c>
      <c r="B4529" s="6" t="s">
        <v>190</v>
      </c>
      <c r="C4529" s="16"/>
      <c r="D4529" s="16"/>
      <c r="E4529" s="17">
        <f>E4530+E4537</f>
        <v>2420635.0039999997</v>
      </c>
    </row>
    <row r="4530" spans="1:6" ht="15" customHeight="1" x14ac:dyDescent="0.2">
      <c r="A4530" s="7" t="s">
        <v>21</v>
      </c>
      <c r="B4530" s="6" t="s">
        <v>132</v>
      </c>
      <c r="C4530" s="16"/>
      <c r="D4530" s="16"/>
      <c r="E4530" s="17">
        <f>SUM(E4531:E4536)</f>
        <v>988990.92600000009</v>
      </c>
    </row>
    <row r="4531" spans="1:6" ht="11.25" customHeight="1" x14ac:dyDescent="0.2">
      <c r="A4531" s="15" t="s">
        <v>23</v>
      </c>
      <c r="B4531" s="9" t="s">
        <v>34</v>
      </c>
      <c r="C4531" s="16">
        <v>1.7</v>
      </c>
      <c r="D4531" s="16">
        <v>18781</v>
      </c>
      <c r="E4531" s="19">
        <f>ROUND(C4531*D4531,2)*12</f>
        <v>383132.4</v>
      </c>
      <c r="F4531" s="20"/>
    </row>
    <row r="4532" spans="1:6" ht="11.25" customHeight="1" x14ac:dyDescent="0.2">
      <c r="A4532" s="8" t="s">
        <v>31</v>
      </c>
      <c r="B4532" s="9" t="s">
        <v>36</v>
      </c>
      <c r="C4532" s="16">
        <v>1.43</v>
      </c>
      <c r="D4532" s="16">
        <v>18781</v>
      </c>
      <c r="E4532" s="19">
        <f>ROUND(C4532*D4532,2)*12</f>
        <v>322281.96000000002</v>
      </c>
    </row>
    <row r="4533" spans="1:6" ht="11.25" customHeight="1" x14ac:dyDescent="0.2">
      <c r="A4533" s="8" t="s">
        <v>121</v>
      </c>
      <c r="B4533" s="9" t="s">
        <v>38</v>
      </c>
      <c r="C4533" s="16">
        <v>30.2</v>
      </c>
      <c r="D4533" s="16">
        <f>E4531</f>
        <v>383132.4</v>
      </c>
      <c r="E4533" s="19">
        <f>ROUND(C4533*D4533/100,2)</f>
        <v>115705.98</v>
      </c>
    </row>
    <row r="4534" spans="1:6" ht="11.25" customHeight="1" x14ac:dyDescent="0.2">
      <c r="A4534" s="8" t="s">
        <v>186</v>
      </c>
      <c r="B4534" s="9" t="s">
        <v>40</v>
      </c>
      <c r="C4534" s="16">
        <v>30.2</v>
      </c>
      <c r="D4534" s="16">
        <f>E4532</f>
        <v>322281.96000000002</v>
      </c>
      <c r="E4534" s="19">
        <f>ROUND(C4534*D4534/100,2)</f>
        <v>97329.15</v>
      </c>
    </row>
    <row r="4535" spans="1:6" ht="11.25" customHeight="1" x14ac:dyDescent="0.2">
      <c r="A4535" s="8" t="s">
        <v>187</v>
      </c>
      <c r="B4535" s="9" t="s">
        <v>42</v>
      </c>
      <c r="C4535" s="16"/>
      <c r="D4535" s="16"/>
      <c r="E4535" s="19">
        <f>E4531*0.1</f>
        <v>38313.240000000005</v>
      </c>
    </row>
    <row r="4536" spans="1:6" ht="11.25" customHeight="1" x14ac:dyDescent="0.2">
      <c r="A4536" s="8" t="s">
        <v>188</v>
      </c>
      <c r="B4536" s="9" t="s">
        <v>44</v>
      </c>
      <c r="C4536" s="16"/>
      <c r="D4536" s="16"/>
      <c r="E4536" s="19">
        <f>E4532*0.1</f>
        <v>32228.196000000004</v>
      </c>
    </row>
    <row r="4537" spans="1:6" ht="15" customHeight="1" x14ac:dyDescent="0.2">
      <c r="A4537" s="7" t="s">
        <v>45</v>
      </c>
      <c r="B4537" s="6" t="s">
        <v>189</v>
      </c>
      <c r="C4537" s="16"/>
      <c r="D4537" s="16"/>
      <c r="E4537" s="17">
        <f>E4538+E4539+E4540+E4541</f>
        <v>1431644.0779999997</v>
      </c>
    </row>
    <row r="4538" spans="1:6" ht="11.25" customHeight="1" x14ac:dyDescent="0.2">
      <c r="A4538" s="8" t="s">
        <v>47</v>
      </c>
      <c r="B4538" s="9" t="s">
        <v>48</v>
      </c>
      <c r="C4538" s="16">
        <v>3.43</v>
      </c>
      <c r="D4538" s="16">
        <v>18781</v>
      </c>
      <c r="E4538" s="19">
        <f>ROUND(C4538*D4538,2)*12</f>
        <v>773025.96</v>
      </c>
      <c r="F4538" s="20"/>
    </row>
    <row r="4539" spans="1:6" ht="11.25" customHeight="1" x14ac:dyDescent="0.2">
      <c r="A4539" s="8" t="s">
        <v>49</v>
      </c>
      <c r="B4539" s="9" t="s">
        <v>50</v>
      </c>
      <c r="C4539" s="16">
        <v>30.2</v>
      </c>
      <c r="D4539" s="16">
        <f>E4538</f>
        <v>773025.96</v>
      </c>
      <c r="E4539" s="19">
        <f>ROUND(C4539*D4539/100,2)</f>
        <v>233453.84</v>
      </c>
    </row>
    <row r="4540" spans="1:6" ht="11.25" customHeight="1" x14ac:dyDescent="0.2">
      <c r="A4540" s="8" t="s">
        <v>51</v>
      </c>
      <c r="B4540" s="9" t="s">
        <v>52</v>
      </c>
      <c r="C4540" s="16"/>
      <c r="D4540" s="16"/>
      <c r="E4540" s="19">
        <f>E4538*0.45</f>
        <v>347861.68199999997</v>
      </c>
    </row>
    <row r="4541" spans="1:6" ht="11.25" customHeight="1" x14ac:dyDescent="0.2">
      <c r="A4541" s="8" t="s">
        <v>53</v>
      </c>
      <c r="B4541" s="9" t="s">
        <v>54</v>
      </c>
      <c r="C4541" s="16"/>
      <c r="D4541" s="16"/>
      <c r="E4541" s="19">
        <f>E4538*0.1</f>
        <v>77302.596000000005</v>
      </c>
    </row>
    <row r="4542" spans="1:6" ht="20.100000000000001" customHeight="1" x14ac:dyDescent="0.2">
      <c r="A4542" s="5">
        <v>2</v>
      </c>
      <c r="B4542" s="6" t="s">
        <v>57</v>
      </c>
      <c r="C4542" s="16"/>
      <c r="D4542" s="16"/>
      <c r="E4542" s="17">
        <f>E4543+E4545+E4546+E4547+E4548+E4549+E4544</f>
        <v>1077949.3</v>
      </c>
    </row>
    <row r="4543" spans="1:6" ht="11.25" customHeight="1" x14ac:dyDescent="0.2">
      <c r="A4543" s="35" t="s">
        <v>58</v>
      </c>
      <c r="B4543" s="9" t="s">
        <v>204</v>
      </c>
      <c r="C4543" s="16">
        <v>884.5</v>
      </c>
      <c r="D4543" s="16">
        <f>E4543/C4543</f>
        <v>177.97000565291125</v>
      </c>
      <c r="E4543" s="19">
        <v>157414.47</v>
      </c>
    </row>
    <row r="4544" spans="1:6" ht="11.25" customHeight="1" x14ac:dyDescent="0.2">
      <c r="A4544" s="35" t="s">
        <v>60</v>
      </c>
      <c r="B4544" s="9" t="s">
        <v>195</v>
      </c>
      <c r="C4544" s="16">
        <v>884.5</v>
      </c>
      <c r="D4544" s="16">
        <f>E4544/C4544</f>
        <v>219.6334313171283</v>
      </c>
      <c r="E4544" s="19">
        <v>194265.77</v>
      </c>
    </row>
    <row r="4545" spans="1:6" ht="11.25" customHeight="1" x14ac:dyDescent="0.2">
      <c r="A4545" s="35" t="s">
        <v>62</v>
      </c>
      <c r="B4545" s="9" t="s">
        <v>196</v>
      </c>
      <c r="C4545" s="16">
        <v>280.60000000000002</v>
      </c>
      <c r="D4545" s="16">
        <f>E4545/C4545</f>
        <v>848.40124732715606</v>
      </c>
      <c r="E4545" s="19">
        <v>238061.39</v>
      </c>
    </row>
    <row r="4546" spans="1:6" ht="11.25" customHeight="1" x14ac:dyDescent="0.2">
      <c r="A4546" s="35" t="s">
        <v>64</v>
      </c>
      <c r="B4546" s="9" t="s">
        <v>63</v>
      </c>
      <c r="C4546" s="16">
        <f>E4546/D4546</f>
        <v>57836.670932358313</v>
      </c>
      <c r="D4546" s="16">
        <v>5.47</v>
      </c>
      <c r="E4546" s="19">
        <f>273500+18599.11+24267.48</f>
        <v>316366.58999999997</v>
      </c>
      <c r="F4546" s="20"/>
    </row>
    <row r="4547" spans="1:6" ht="11.25" customHeight="1" x14ac:dyDescent="0.2">
      <c r="A4547" s="35" t="s">
        <v>66</v>
      </c>
      <c r="B4547" s="9" t="s">
        <v>65</v>
      </c>
      <c r="C4547" s="16">
        <f>E4547/D4547</f>
        <v>1969.5649684334167</v>
      </c>
      <c r="D4547" s="16">
        <v>68.11</v>
      </c>
      <c r="E4547" s="19">
        <v>134147.07</v>
      </c>
    </row>
    <row r="4548" spans="1:6" ht="11.25" customHeight="1" x14ac:dyDescent="0.2">
      <c r="A4548" s="35" t="s">
        <v>68</v>
      </c>
      <c r="B4548" s="9" t="s">
        <v>69</v>
      </c>
      <c r="C4548" s="16">
        <v>1951.6</v>
      </c>
      <c r="D4548" s="16">
        <f>E4548/C4548</f>
        <v>3.35</v>
      </c>
      <c r="E4548" s="19">
        <v>6537.86</v>
      </c>
    </row>
    <row r="4549" spans="1:6" ht="11.25" customHeight="1" x14ac:dyDescent="0.2">
      <c r="A4549" s="35" t="s">
        <v>70</v>
      </c>
      <c r="B4549" s="9" t="s">
        <v>71</v>
      </c>
      <c r="C4549" s="16">
        <v>165.69</v>
      </c>
      <c r="D4549" s="16">
        <f>E4549/C4549</f>
        <v>188.03880741143101</v>
      </c>
      <c r="E4549" s="19">
        <v>31156.15</v>
      </c>
    </row>
    <row r="4550" spans="1:6" ht="20.100000000000001" customHeight="1" x14ac:dyDescent="0.2">
      <c r="A4550" s="5">
        <v>3</v>
      </c>
      <c r="B4550" s="6" t="s">
        <v>72</v>
      </c>
      <c r="C4550" s="16"/>
      <c r="D4550" s="16"/>
      <c r="E4550" s="17">
        <f>E4551+E4552+E4553+E4554+E4555+E4556+E4557+E4558+E4559+E4561+E4560</f>
        <v>533107.53958139918</v>
      </c>
    </row>
    <row r="4551" spans="1:6" ht="11.25" customHeight="1" x14ac:dyDescent="0.2">
      <c r="A4551" s="8" t="s">
        <v>73</v>
      </c>
      <c r="B4551" s="9" t="s">
        <v>74</v>
      </c>
      <c r="C4551" s="34">
        <v>7</v>
      </c>
      <c r="D4551" s="16">
        <f>E4551/C4551/12</f>
        <v>3192.7320238095235</v>
      </c>
      <c r="E4551" s="19">
        <v>268189.49</v>
      </c>
    </row>
    <row r="4552" spans="1:6" ht="11.25" customHeight="1" x14ac:dyDescent="0.2">
      <c r="A4552" s="8" t="s">
        <v>75</v>
      </c>
      <c r="B4552" s="9" t="s">
        <v>76</v>
      </c>
      <c r="C4552" s="16"/>
      <c r="D4552" s="16"/>
      <c r="E4552" s="19">
        <v>0</v>
      </c>
    </row>
    <row r="4553" spans="1:6" ht="11.25" customHeight="1" x14ac:dyDescent="0.2">
      <c r="A4553" s="8" t="s">
        <v>77</v>
      </c>
      <c r="B4553" s="9" t="s">
        <v>78</v>
      </c>
      <c r="C4553" s="16"/>
      <c r="D4553" s="16"/>
      <c r="E4553" s="19">
        <v>0</v>
      </c>
    </row>
    <row r="4554" spans="1:6" ht="11.25" customHeight="1" x14ac:dyDescent="0.2">
      <c r="A4554" s="8" t="s">
        <v>79</v>
      </c>
      <c r="B4554" s="9" t="s">
        <v>80</v>
      </c>
      <c r="C4554" s="16">
        <v>12726.3</v>
      </c>
      <c r="D4554" s="16">
        <f>E4554/C4554</f>
        <v>4.2815209448150684</v>
      </c>
      <c r="E4554" s="19">
        <v>54487.92</v>
      </c>
    </row>
    <row r="4555" spans="1:6" ht="11.25" customHeight="1" x14ac:dyDescent="0.2">
      <c r="A4555" s="8" t="s">
        <v>81</v>
      </c>
      <c r="B4555" s="9" t="s">
        <v>82</v>
      </c>
      <c r="C4555" s="34">
        <v>494</v>
      </c>
      <c r="D4555" s="16">
        <f>E4555/C4555</f>
        <v>71.809817813765193</v>
      </c>
      <c r="E4555" s="19">
        <v>35474.050000000003</v>
      </c>
    </row>
    <row r="4556" spans="1:6" ht="11.25" customHeight="1" x14ac:dyDescent="0.2">
      <c r="A4556" s="8" t="s">
        <v>83</v>
      </c>
      <c r="B4556" s="9" t="s">
        <v>194</v>
      </c>
      <c r="C4556" s="34">
        <v>247</v>
      </c>
      <c r="D4556" s="16">
        <f>E4556/C4556</f>
        <v>86.105829959514168</v>
      </c>
      <c r="E4556" s="19">
        <v>21268.14</v>
      </c>
    </row>
    <row r="4557" spans="1:6" ht="11.25" customHeight="1" x14ac:dyDescent="0.2">
      <c r="A4557" s="8" t="s">
        <v>85</v>
      </c>
      <c r="B4557" s="9" t="s">
        <v>86</v>
      </c>
      <c r="C4557" s="34"/>
      <c r="D4557" s="16"/>
      <c r="E4557" s="19">
        <v>0</v>
      </c>
    </row>
    <row r="4558" spans="1:6" ht="11.25" customHeight="1" x14ac:dyDescent="0.2">
      <c r="A4558" s="8" t="s">
        <v>87</v>
      </c>
      <c r="B4558" s="9" t="s">
        <v>88</v>
      </c>
      <c r="C4558" s="34">
        <v>247</v>
      </c>
      <c r="D4558" s="16">
        <f>E4558/C4558</f>
        <v>543.72967611336037</v>
      </c>
      <c r="E4558" s="19">
        <v>134301.23000000001</v>
      </c>
    </row>
    <row r="4559" spans="1:6" ht="11.25" customHeight="1" x14ac:dyDescent="0.2">
      <c r="A4559" s="8" t="s">
        <v>89</v>
      </c>
      <c r="B4559" s="9" t="s">
        <v>90</v>
      </c>
      <c r="C4559" s="16"/>
      <c r="D4559" s="16"/>
      <c r="E4559" s="19">
        <v>0</v>
      </c>
    </row>
    <row r="4560" spans="1:6" ht="11.25" customHeight="1" x14ac:dyDescent="0.2">
      <c r="A4560" s="8" t="s">
        <v>91</v>
      </c>
      <c r="B4560" s="9" t="s">
        <v>202</v>
      </c>
      <c r="C4560" s="34">
        <v>7</v>
      </c>
      <c r="D4560" s="16">
        <f>E4560/C4560</f>
        <v>2769.5299401998959</v>
      </c>
      <c r="E4560" s="19">
        <f>2826.16*7*1.2*0.81663515754</f>
        <v>19386.709581399271</v>
      </c>
    </row>
    <row r="4561" spans="1:6" ht="11.25" customHeight="1" x14ac:dyDescent="0.2">
      <c r="A4561" s="8" t="s">
        <v>203</v>
      </c>
      <c r="B4561" s="9" t="s">
        <v>92</v>
      </c>
      <c r="C4561" s="16"/>
      <c r="D4561" s="16"/>
      <c r="E4561" s="19">
        <v>0</v>
      </c>
    </row>
    <row r="4562" spans="1:6" ht="15" customHeight="1" x14ac:dyDescent="0.2">
      <c r="A4562" s="5">
        <v>4</v>
      </c>
      <c r="B4562" s="6" t="s">
        <v>193</v>
      </c>
      <c r="C4562" s="16"/>
      <c r="D4562" s="16"/>
      <c r="E4562" s="17">
        <f>F4563/1.1*0.1</f>
        <v>403169.18400000001</v>
      </c>
    </row>
    <row r="4563" spans="1:6" ht="18.75" customHeight="1" x14ac:dyDescent="0.2">
      <c r="A4563" s="10"/>
      <c r="B4563" s="11" t="s">
        <v>94</v>
      </c>
      <c r="C4563" s="21"/>
      <c r="D4563" s="21"/>
      <c r="E4563" s="17">
        <f>E4529+E4542+E4550+E4562</f>
        <v>4434861.0275813993</v>
      </c>
      <c r="F4563" s="25">
        <f>E4516*29.04*12</f>
        <v>4434861.0240000002</v>
      </c>
    </row>
    <row r="4564" spans="1:6" ht="15" customHeight="1" x14ac:dyDescent="0.25">
      <c r="A4564" s="10"/>
      <c r="B4564" s="11" t="s">
        <v>199</v>
      </c>
      <c r="C4564" s="21"/>
      <c r="D4564" s="21"/>
      <c r="E4564" s="22">
        <v>29.04</v>
      </c>
    </row>
    <row r="4565" spans="1:6" ht="10.95" customHeight="1" x14ac:dyDescent="0.2"/>
    <row r="4566" spans="1:6" ht="10.95" customHeight="1" x14ac:dyDescent="0.2"/>
    <row r="4567" spans="1:6" ht="10.95" customHeight="1" x14ac:dyDescent="0.2"/>
    <row r="4568" spans="1:6" ht="15" customHeight="1" x14ac:dyDescent="0.25">
      <c r="B4568" s="12" t="s">
        <v>96</v>
      </c>
    </row>
    <row r="4569" spans="1:6" ht="12" customHeight="1" x14ac:dyDescent="0.2"/>
    <row r="4570" spans="1:6" ht="13.2" customHeight="1" x14ac:dyDescent="0.25">
      <c r="B4570" s="3" t="s">
        <v>97</v>
      </c>
    </row>
    <row r="4571" spans="1:6" ht="7.95" customHeight="1" x14ac:dyDescent="0.2"/>
    <row r="4572" spans="1:6" ht="12" customHeight="1" x14ac:dyDescent="0.25">
      <c r="B4572" s="41" t="s">
        <v>100</v>
      </c>
      <c r="C4572" s="41"/>
      <c r="D4572" s="41"/>
      <c r="E4572" s="41"/>
    </row>
    <row r="4573" spans="1:6" ht="10.95" customHeight="1" x14ac:dyDescent="0.2"/>
    <row r="4574" spans="1:6" ht="10.95" customHeight="1" x14ac:dyDescent="0.2"/>
    <row r="4575" spans="1:6" ht="10.95" customHeight="1" x14ac:dyDescent="0.2"/>
    <row r="4576" spans="1:6" ht="16.2" customHeight="1" x14ac:dyDescent="0.2">
      <c r="A4576" s="39" t="s">
        <v>0</v>
      </c>
      <c r="B4576" s="39"/>
      <c r="C4576" s="39"/>
      <c r="D4576" s="39"/>
      <c r="E4576" s="39"/>
    </row>
    <row r="4577" spans="1:5" ht="10.95" customHeight="1" x14ac:dyDescent="0.2">
      <c r="A4577" s="40" t="s">
        <v>1</v>
      </c>
      <c r="B4577" s="40"/>
      <c r="C4577" s="40"/>
      <c r="D4577" s="40"/>
      <c r="E4577" s="40"/>
    </row>
    <row r="4578" spans="1:5" ht="13.2" customHeight="1" x14ac:dyDescent="0.2">
      <c r="A4578" s="40" t="s">
        <v>198</v>
      </c>
      <c r="B4578" s="40"/>
      <c r="C4578" s="40"/>
      <c r="D4578" s="40"/>
      <c r="E4578" s="40"/>
    </row>
    <row r="4579" spans="1:5" ht="10.95" customHeight="1" x14ac:dyDescent="0.2"/>
    <row r="4580" spans="1:5" ht="10.95" customHeight="1" x14ac:dyDescent="0.2">
      <c r="C4580" s="42" t="s">
        <v>3</v>
      </c>
      <c r="D4580" s="42"/>
      <c r="E4580" s="42"/>
    </row>
    <row r="4581" spans="1:5" ht="12" customHeight="1" x14ac:dyDescent="0.2">
      <c r="D4581" s="26" t="s">
        <v>4</v>
      </c>
      <c r="E4581" s="24">
        <v>8701.5</v>
      </c>
    </row>
    <row r="4582" spans="1:5" ht="12" customHeight="1" x14ac:dyDescent="0.2">
      <c r="D4582" s="26" t="s">
        <v>5</v>
      </c>
      <c r="E4582" s="23">
        <v>260.7</v>
      </c>
    </row>
    <row r="4583" spans="1:5" ht="12" customHeight="1" x14ac:dyDescent="0.2">
      <c r="D4583" s="26" t="s">
        <v>6</v>
      </c>
      <c r="E4583" s="30">
        <v>5</v>
      </c>
    </row>
    <row r="4584" spans="1:5" ht="12" customHeight="1" x14ac:dyDescent="0.2">
      <c r="D4584" s="26" t="s">
        <v>7</v>
      </c>
      <c r="E4584" s="30">
        <v>9</v>
      </c>
    </row>
    <row r="4585" spans="1:5" ht="12" customHeight="1" x14ac:dyDescent="0.2">
      <c r="D4585" s="26" t="s">
        <v>8</v>
      </c>
      <c r="E4585" s="30">
        <v>174</v>
      </c>
    </row>
    <row r="4586" spans="1:5" ht="12" customHeight="1" x14ac:dyDescent="0.2">
      <c r="D4586" s="26" t="s">
        <v>9</v>
      </c>
      <c r="E4586" s="30">
        <v>443</v>
      </c>
    </row>
    <row r="4587" spans="1:5" ht="12" customHeight="1" x14ac:dyDescent="0.2">
      <c r="D4587" s="26" t="s">
        <v>10</v>
      </c>
      <c r="E4587" s="30">
        <v>5</v>
      </c>
    </row>
    <row r="4588" spans="1:5" ht="12" customHeight="1" x14ac:dyDescent="0.2">
      <c r="D4588" s="26" t="s">
        <v>11</v>
      </c>
      <c r="E4588" s="30">
        <v>0</v>
      </c>
    </row>
    <row r="4589" spans="1:5" ht="12" customHeight="1" x14ac:dyDescent="0.2">
      <c r="D4589" s="26" t="s">
        <v>12</v>
      </c>
      <c r="E4589" s="30">
        <v>0</v>
      </c>
    </row>
    <row r="4590" spans="1:5" ht="12" customHeight="1" x14ac:dyDescent="0.2">
      <c r="D4590" s="26" t="s">
        <v>13</v>
      </c>
      <c r="E4590" s="30">
        <v>1117</v>
      </c>
    </row>
    <row r="4591" spans="1:5" ht="12" customHeight="1" x14ac:dyDescent="0.25">
      <c r="A4591" s="2" t="s">
        <v>14</v>
      </c>
      <c r="B4591" s="3" t="s">
        <v>184</v>
      </c>
    </row>
    <row r="4592" spans="1:5" ht="10.95" customHeight="1" x14ac:dyDescent="0.2"/>
    <row r="4593" spans="1:6" ht="45" customHeight="1" x14ac:dyDescent="0.2">
      <c r="A4593" s="4" t="s">
        <v>15</v>
      </c>
      <c r="B4593" s="4" t="s">
        <v>131</v>
      </c>
      <c r="C4593" s="27" t="s">
        <v>17</v>
      </c>
      <c r="D4593" s="27" t="s">
        <v>103</v>
      </c>
      <c r="E4593" s="27" t="s">
        <v>19</v>
      </c>
    </row>
    <row r="4594" spans="1:6" ht="31.5" customHeight="1" x14ac:dyDescent="0.2">
      <c r="A4594" s="5">
        <v>1</v>
      </c>
      <c r="B4594" s="6" t="s">
        <v>190</v>
      </c>
      <c r="C4594" s="16"/>
      <c r="D4594" s="16"/>
      <c r="E4594" s="17">
        <f>E4595+E4602</f>
        <v>1653653.5380000002</v>
      </c>
    </row>
    <row r="4595" spans="1:6" ht="15" customHeight="1" x14ac:dyDescent="0.2">
      <c r="A4595" s="7" t="s">
        <v>21</v>
      </c>
      <c r="B4595" s="6" t="s">
        <v>132</v>
      </c>
      <c r="C4595" s="16"/>
      <c r="D4595" s="16"/>
      <c r="E4595" s="17">
        <f>SUM(E4596:E4601)</f>
        <v>733053.98800000001</v>
      </c>
    </row>
    <row r="4596" spans="1:6" ht="11.25" customHeight="1" x14ac:dyDescent="0.2">
      <c r="A4596" s="15" t="s">
        <v>23</v>
      </c>
      <c r="B4596" s="9" t="s">
        <v>34</v>
      </c>
      <c r="C4596" s="16">
        <v>1.28</v>
      </c>
      <c r="D4596" s="16">
        <v>18781</v>
      </c>
      <c r="E4596" s="19">
        <f>ROUND(C4596*D4596,2)*12</f>
        <v>288476.16000000003</v>
      </c>
      <c r="F4596" s="20"/>
    </row>
    <row r="4597" spans="1:6" ht="11.25" customHeight="1" x14ac:dyDescent="0.2">
      <c r="A4597" s="8" t="s">
        <v>31</v>
      </c>
      <c r="B4597" s="9" t="s">
        <v>36</v>
      </c>
      <c r="C4597" s="16">
        <v>1.04</v>
      </c>
      <c r="D4597" s="16">
        <v>18781</v>
      </c>
      <c r="E4597" s="19">
        <f>ROUND(C4597*D4597,2)*12</f>
        <v>234386.88</v>
      </c>
    </row>
    <row r="4598" spans="1:6" ht="11.25" customHeight="1" x14ac:dyDescent="0.2">
      <c r="A4598" s="8" t="s">
        <v>121</v>
      </c>
      <c r="B4598" s="9" t="s">
        <v>38</v>
      </c>
      <c r="C4598" s="16">
        <v>30.2</v>
      </c>
      <c r="D4598" s="16">
        <f>E4596</f>
        <v>288476.16000000003</v>
      </c>
      <c r="E4598" s="19">
        <f>ROUND(C4598*D4598/100,2)</f>
        <v>87119.8</v>
      </c>
    </row>
    <row r="4599" spans="1:6" ht="11.25" customHeight="1" x14ac:dyDescent="0.2">
      <c r="A4599" s="8" t="s">
        <v>186</v>
      </c>
      <c r="B4599" s="9" t="s">
        <v>40</v>
      </c>
      <c r="C4599" s="16">
        <v>30.2</v>
      </c>
      <c r="D4599" s="16">
        <f>E4597</f>
        <v>234386.88</v>
      </c>
      <c r="E4599" s="19">
        <f>ROUND(C4599*D4599/100,2)</f>
        <v>70784.84</v>
      </c>
    </row>
    <row r="4600" spans="1:6" ht="11.25" customHeight="1" x14ac:dyDescent="0.2">
      <c r="A4600" s="8" t="s">
        <v>187</v>
      </c>
      <c r="B4600" s="9" t="s">
        <v>42</v>
      </c>
      <c r="C4600" s="16"/>
      <c r="D4600" s="16"/>
      <c r="E4600" s="19">
        <f>ROUND(E4596*0.1,2)</f>
        <v>28847.62</v>
      </c>
    </row>
    <row r="4601" spans="1:6" ht="11.25" customHeight="1" x14ac:dyDescent="0.2">
      <c r="A4601" s="8" t="s">
        <v>188</v>
      </c>
      <c r="B4601" s="9" t="s">
        <v>44</v>
      </c>
      <c r="C4601" s="16"/>
      <c r="D4601" s="16"/>
      <c r="E4601" s="19">
        <f>E4597*0.1</f>
        <v>23438.688000000002</v>
      </c>
    </row>
    <row r="4602" spans="1:6" ht="15" customHeight="1" x14ac:dyDescent="0.2">
      <c r="A4602" s="7" t="s">
        <v>45</v>
      </c>
      <c r="B4602" s="6" t="s">
        <v>189</v>
      </c>
      <c r="C4602" s="16"/>
      <c r="D4602" s="16"/>
      <c r="E4602" s="17">
        <f>E4603+E4604+E4605+E4606</f>
        <v>920599.55</v>
      </c>
    </row>
    <row r="4603" spans="1:6" ht="11.25" customHeight="1" x14ac:dyDescent="0.2">
      <c r="A4603" s="8" t="s">
        <v>47</v>
      </c>
      <c r="B4603" s="9" t="s">
        <v>48</v>
      </c>
      <c r="C4603" s="16">
        <v>2.4</v>
      </c>
      <c r="D4603" s="16">
        <v>18781</v>
      </c>
      <c r="E4603" s="19">
        <f>ROUND(C4603*D4603,2)*12</f>
        <v>540892.80000000005</v>
      </c>
      <c r="F4603" s="20"/>
    </row>
    <row r="4604" spans="1:6" ht="11.25" customHeight="1" x14ac:dyDescent="0.2">
      <c r="A4604" s="8" t="s">
        <v>49</v>
      </c>
      <c r="B4604" s="9" t="s">
        <v>50</v>
      </c>
      <c r="C4604" s="16">
        <v>30.2</v>
      </c>
      <c r="D4604" s="16">
        <f>E4603</f>
        <v>540892.80000000005</v>
      </c>
      <c r="E4604" s="19">
        <f>ROUND(C4604*D4604/100,2)</f>
        <v>163349.63</v>
      </c>
    </row>
    <row r="4605" spans="1:6" ht="11.25" customHeight="1" x14ac:dyDescent="0.2">
      <c r="A4605" s="8" t="s">
        <v>51</v>
      </c>
      <c r="B4605" s="9" t="s">
        <v>52</v>
      </c>
      <c r="C4605" s="16"/>
      <c r="D4605" s="16"/>
      <c r="E4605" s="19">
        <f>E4603*0.3</f>
        <v>162267.84</v>
      </c>
    </row>
    <row r="4606" spans="1:6" ht="11.25" customHeight="1" x14ac:dyDescent="0.2">
      <c r="A4606" s="8" t="s">
        <v>53</v>
      </c>
      <c r="B4606" s="9" t="s">
        <v>54</v>
      </c>
      <c r="C4606" s="16"/>
      <c r="D4606" s="16"/>
      <c r="E4606" s="19">
        <f>E4603*0.1</f>
        <v>54089.280000000006</v>
      </c>
    </row>
    <row r="4607" spans="1:6" ht="20.100000000000001" customHeight="1" x14ac:dyDescent="0.2">
      <c r="A4607" s="5">
        <v>2</v>
      </c>
      <c r="B4607" s="6" t="s">
        <v>57</v>
      </c>
      <c r="C4607" s="16"/>
      <c r="D4607" s="16"/>
      <c r="E4607" s="17">
        <f>E4608+E4610+E4611+E4612+E4613+E4614+E4609</f>
        <v>743175.96000000008</v>
      </c>
    </row>
    <row r="4608" spans="1:6" ht="11.25" customHeight="1" x14ac:dyDescent="0.2">
      <c r="A4608" s="35" t="s">
        <v>58</v>
      </c>
      <c r="B4608" s="9" t="s">
        <v>204</v>
      </c>
      <c r="C4608" s="16">
        <v>642.35</v>
      </c>
      <c r="D4608" s="16">
        <f>E4608/C4608</f>
        <v>177.97000077839184</v>
      </c>
      <c r="E4608" s="19">
        <v>114319.03</v>
      </c>
    </row>
    <row r="4609" spans="1:6" ht="11.25" customHeight="1" x14ac:dyDescent="0.2">
      <c r="A4609" s="35" t="s">
        <v>60</v>
      </c>
      <c r="B4609" s="9" t="s">
        <v>195</v>
      </c>
      <c r="C4609" s="16">
        <v>642.35</v>
      </c>
      <c r="D4609" s="16">
        <f>E4609/C4609</f>
        <v>219.63343971355181</v>
      </c>
      <c r="E4609" s="19">
        <v>141081.54</v>
      </c>
    </row>
    <row r="4610" spans="1:6" ht="11.25" customHeight="1" x14ac:dyDescent="0.2">
      <c r="A4610" s="35" t="s">
        <v>62</v>
      </c>
      <c r="B4610" s="9" t="s">
        <v>196</v>
      </c>
      <c r="C4610" s="16">
        <v>203.78</v>
      </c>
      <c r="D4610" s="16">
        <f>E4610/C4610</f>
        <v>848.4012660712533</v>
      </c>
      <c r="E4610" s="19">
        <v>172887.21</v>
      </c>
    </row>
    <row r="4611" spans="1:6" ht="11.25" customHeight="1" x14ac:dyDescent="0.2">
      <c r="A4611" s="35" t="s">
        <v>64</v>
      </c>
      <c r="B4611" s="9" t="s">
        <v>63</v>
      </c>
      <c r="C4611" s="16">
        <f>E4611/D4611</f>
        <v>37000</v>
      </c>
      <c r="D4611" s="16">
        <v>5.47</v>
      </c>
      <c r="E4611" s="19">
        <v>202390</v>
      </c>
    </row>
    <row r="4612" spans="1:6" ht="11.25" customHeight="1" x14ac:dyDescent="0.2">
      <c r="A4612" s="35" t="s">
        <v>66</v>
      </c>
      <c r="B4612" s="9" t="s">
        <v>65</v>
      </c>
      <c r="C4612" s="16">
        <f>E4612/D4612</f>
        <v>1584.6737630303921</v>
      </c>
      <c r="D4612" s="16">
        <v>68.11</v>
      </c>
      <c r="E4612" s="19">
        <f>86719.81+4255.6+16956.72</f>
        <v>107932.13</v>
      </c>
      <c r="F4612" s="20"/>
    </row>
    <row r="4613" spans="1:6" ht="11.25" customHeight="1" x14ac:dyDescent="0.2">
      <c r="A4613" s="35" t="s">
        <v>68</v>
      </c>
      <c r="B4613" s="9" t="s">
        <v>69</v>
      </c>
      <c r="C4613" s="16">
        <v>1363</v>
      </c>
      <c r="D4613" s="16">
        <f>E4613/C4613</f>
        <v>3.35</v>
      </c>
      <c r="E4613" s="19">
        <v>4566.05</v>
      </c>
    </row>
    <row r="4614" spans="1:6" ht="11.25" customHeight="1" x14ac:dyDescent="0.2">
      <c r="A4614" s="35" t="s">
        <v>70</v>
      </c>
      <c r="B4614" s="9" t="s">
        <v>71</v>
      </c>
      <c r="C4614" s="16"/>
      <c r="D4614" s="16"/>
      <c r="E4614" s="19">
        <v>0</v>
      </c>
    </row>
    <row r="4615" spans="1:6" ht="20.100000000000001" customHeight="1" x14ac:dyDescent="0.2">
      <c r="A4615" s="5">
        <v>3</v>
      </c>
      <c r="B4615" s="6" t="s">
        <v>72</v>
      </c>
      <c r="C4615" s="16"/>
      <c r="D4615" s="16"/>
      <c r="E4615" s="17">
        <f>E4616+E4617+E4618+E4619+E4620+E4621+E4622+E4623+E4624+E4626+E4625</f>
        <v>359805.69970099948</v>
      </c>
    </row>
    <row r="4616" spans="1:6" ht="11.25" customHeight="1" x14ac:dyDescent="0.2">
      <c r="A4616" s="8" t="s">
        <v>73</v>
      </c>
      <c r="B4616" s="9" t="s">
        <v>74</v>
      </c>
      <c r="C4616" s="34">
        <v>5</v>
      </c>
      <c r="D4616" s="16">
        <f>E4616/C4616/12</f>
        <v>2935.2960000000003</v>
      </c>
      <c r="E4616" s="19">
        <v>176117.76000000001</v>
      </c>
    </row>
    <row r="4617" spans="1:6" ht="11.25" customHeight="1" x14ac:dyDescent="0.2">
      <c r="A4617" s="8" t="s">
        <v>75</v>
      </c>
      <c r="B4617" s="9" t="s">
        <v>76</v>
      </c>
      <c r="C4617" s="16"/>
      <c r="D4617" s="16"/>
      <c r="E4617" s="19">
        <v>0</v>
      </c>
    </row>
    <row r="4618" spans="1:6" ht="11.25" customHeight="1" x14ac:dyDescent="0.2">
      <c r="A4618" s="8" t="s">
        <v>77</v>
      </c>
      <c r="B4618" s="9" t="s">
        <v>78</v>
      </c>
      <c r="C4618" s="16"/>
      <c r="D4618" s="16"/>
      <c r="E4618" s="19">
        <v>0</v>
      </c>
    </row>
    <row r="4619" spans="1:6" ht="11.25" customHeight="1" x14ac:dyDescent="0.2">
      <c r="A4619" s="8" t="s">
        <v>79</v>
      </c>
      <c r="B4619" s="9" t="s">
        <v>80</v>
      </c>
      <c r="C4619" s="16">
        <v>8701.5</v>
      </c>
      <c r="D4619" s="16">
        <f>E4619/C4619</f>
        <v>4.2744067114865256</v>
      </c>
      <c r="E4619" s="19">
        <v>37193.75</v>
      </c>
    </row>
    <row r="4620" spans="1:6" ht="11.25" customHeight="1" x14ac:dyDescent="0.2">
      <c r="A4620" s="8" t="s">
        <v>81</v>
      </c>
      <c r="B4620" s="9" t="s">
        <v>82</v>
      </c>
      <c r="C4620" s="34">
        <v>348</v>
      </c>
      <c r="D4620" s="16">
        <f>E4620/C4620</f>
        <v>71.90362068965517</v>
      </c>
      <c r="E4620" s="19">
        <v>25022.46</v>
      </c>
    </row>
    <row r="4621" spans="1:6" ht="11.25" customHeight="1" x14ac:dyDescent="0.2">
      <c r="A4621" s="8" t="s">
        <v>83</v>
      </c>
      <c r="B4621" s="9" t="s">
        <v>194</v>
      </c>
      <c r="C4621" s="34">
        <v>174</v>
      </c>
      <c r="D4621" s="16">
        <f>E4621/C4621</f>
        <v>86.044942528735632</v>
      </c>
      <c r="E4621" s="19">
        <v>14971.82</v>
      </c>
    </row>
    <row r="4622" spans="1:6" ht="11.25" customHeight="1" x14ac:dyDescent="0.2">
      <c r="A4622" s="8" t="s">
        <v>85</v>
      </c>
      <c r="B4622" s="9" t="s">
        <v>86</v>
      </c>
      <c r="C4622" s="34"/>
      <c r="D4622" s="16"/>
      <c r="E4622" s="19">
        <v>0</v>
      </c>
    </row>
    <row r="4623" spans="1:6" ht="11.25" customHeight="1" x14ac:dyDescent="0.2">
      <c r="A4623" s="8" t="s">
        <v>87</v>
      </c>
      <c r="B4623" s="9" t="s">
        <v>88</v>
      </c>
      <c r="C4623" s="34">
        <v>174</v>
      </c>
      <c r="D4623" s="16">
        <f>E4623/C4623</f>
        <v>532.48425287356315</v>
      </c>
      <c r="E4623" s="19">
        <v>92652.26</v>
      </c>
    </row>
    <row r="4624" spans="1:6" ht="11.25" customHeight="1" x14ac:dyDescent="0.2">
      <c r="A4624" s="8" t="s">
        <v>89</v>
      </c>
      <c r="B4624" s="9" t="s">
        <v>90</v>
      </c>
      <c r="C4624" s="16"/>
      <c r="D4624" s="16"/>
      <c r="E4624" s="19">
        <v>0</v>
      </c>
    </row>
    <row r="4625" spans="1:6" ht="11.25" customHeight="1" x14ac:dyDescent="0.2">
      <c r="A4625" s="8" t="s">
        <v>91</v>
      </c>
      <c r="B4625" s="9" t="s">
        <v>202</v>
      </c>
      <c r="C4625" s="34">
        <v>5</v>
      </c>
      <c r="D4625" s="16">
        <f>E4625/C4625</f>
        <v>2769.5299401998955</v>
      </c>
      <c r="E4625" s="19">
        <f>2826.16*5*1.2*0.81663515754</f>
        <v>13847.649700999478</v>
      </c>
    </row>
    <row r="4626" spans="1:6" ht="11.25" customHeight="1" x14ac:dyDescent="0.2">
      <c r="A4626" s="8" t="s">
        <v>203</v>
      </c>
      <c r="B4626" s="9" t="s">
        <v>92</v>
      </c>
      <c r="C4626" s="16"/>
      <c r="D4626" s="16"/>
      <c r="E4626" s="19">
        <v>0</v>
      </c>
    </row>
    <row r="4627" spans="1:6" ht="15" customHeight="1" x14ac:dyDescent="0.2">
      <c r="A4627" s="5">
        <v>4</v>
      </c>
      <c r="B4627" s="6" t="s">
        <v>193</v>
      </c>
      <c r="C4627" s="16"/>
      <c r="D4627" s="16"/>
      <c r="E4627" s="17">
        <f>F4628/1.1*0.1</f>
        <v>275663.51999999996</v>
      </c>
    </row>
    <row r="4628" spans="1:6" ht="18.75" customHeight="1" x14ac:dyDescent="0.2">
      <c r="A4628" s="10"/>
      <c r="B4628" s="11" t="s">
        <v>94</v>
      </c>
      <c r="C4628" s="21"/>
      <c r="D4628" s="21"/>
      <c r="E4628" s="17">
        <f>E4594+E4607+E4615+E4627</f>
        <v>3032298.7177009997</v>
      </c>
      <c r="F4628" s="25">
        <f>E4581*29.04*12</f>
        <v>3032298.7199999997</v>
      </c>
    </row>
    <row r="4629" spans="1:6" ht="15" customHeight="1" x14ac:dyDescent="0.25">
      <c r="A4629" s="10"/>
      <c r="B4629" s="11" t="s">
        <v>199</v>
      </c>
      <c r="C4629" s="21"/>
      <c r="D4629" s="21"/>
      <c r="E4629" s="22">
        <v>29.04</v>
      </c>
    </row>
    <row r="4630" spans="1:6" ht="10.95" customHeight="1" x14ac:dyDescent="0.2"/>
    <row r="4631" spans="1:6" ht="10.95" customHeight="1" x14ac:dyDescent="0.2"/>
    <row r="4632" spans="1:6" ht="10.95" customHeight="1" x14ac:dyDescent="0.2"/>
    <row r="4633" spans="1:6" ht="15" customHeight="1" x14ac:dyDescent="0.25">
      <c r="B4633" s="12" t="s">
        <v>96</v>
      </c>
    </row>
    <row r="4634" spans="1:6" ht="12" customHeight="1" x14ac:dyDescent="0.2"/>
    <row r="4635" spans="1:6" ht="13.2" customHeight="1" x14ac:dyDescent="0.25">
      <c r="B4635" s="3" t="s">
        <v>97</v>
      </c>
    </row>
    <row r="4636" spans="1:6" ht="7.95" customHeight="1" x14ac:dyDescent="0.2"/>
    <row r="4637" spans="1:6" ht="12" customHeight="1" x14ac:dyDescent="0.25">
      <c r="B4637" s="41" t="s">
        <v>100</v>
      </c>
      <c r="C4637" s="41"/>
      <c r="D4637" s="41"/>
      <c r="E4637" s="41"/>
    </row>
    <row r="4638" spans="1:6" ht="10.95" customHeight="1" x14ac:dyDescent="0.2"/>
    <row r="4639" spans="1:6" ht="10.95" customHeight="1" x14ac:dyDescent="0.2"/>
    <row r="4640" spans="1:6" ht="10.95" customHeight="1" x14ac:dyDescent="0.2"/>
    <row r="4641" spans="1:5" ht="16.2" customHeight="1" x14ac:dyDescent="0.2">
      <c r="A4641" s="39" t="s">
        <v>0</v>
      </c>
      <c r="B4641" s="39"/>
      <c r="C4641" s="39"/>
      <c r="D4641" s="39"/>
      <c r="E4641" s="39"/>
    </row>
    <row r="4642" spans="1:5" ht="10.95" customHeight="1" x14ac:dyDescent="0.2">
      <c r="A4642" s="40" t="s">
        <v>1</v>
      </c>
      <c r="B4642" s="40"/>
      <c r="C4642" s="40"/>
      <c r="D4642" s="40"/>
      <c r="E4642" s="40"/>
    </row>
    <row r="4643" spans="1:5" ht="13.2" customHeight="1" x14ac:dyDescent="0.2">
      <c r="A4643" s="40" t="s">
        <v>198</v>
      </c>
      <c r="B4643" s="40"/>
      <c r="C4643" s="40"/>
      <c r="D4643" s="40"/>
      <c r="E4643" s="40"/>
    </row>
    <row r="4644" spans="1:5" ht="10.95" customHeight="1" x14ac:dyDescent="0.2"/>
    <row r="4645" spans="1:5" ht="10.95" customHeight="1" x14ac:dyDescent="0.2">
      <c r="C4645" s="42" t="s">
        <v>3</v>
      </c>
      <c r="D4645" s="42"/>
      <c r="E4645" s="42"/>
    </row>
    <row r="4646" spans="1:5" ht="12" customHeight="1" x14ac:dyDescent="0.2">
      <c r="D4646" s="26" t="s">
        <v>4</v>
      </c>
      <c r="E4646" s="24">
        <v>4173.6000000000004</v>
      </c>
    </row>
    <row r="4647" spans="1:5" ht="12" customHeight="1" x14ac:dyDescent="0.2">
      <c r="D4647" s="26" t="s">
        <v>5</v>
      </c>
      <c r="E4647" s="23">
        <v>0</v>
      </c>
    </row>
    <row r="4648" spans="1:5" ht="12" customHeight="1" x14ac:dyDescent="0.2">
      <c r="D4648" s="26" t="s">
        <v>6</v>
      </c>
      <c r="E4648" s="30">
        <v>1</v>
      </c>
    </row>
    <row r="4649" spans="1:5" ht="12" customHeight="1" x14ac:dyDescent="0.2">
      <c r="D4649" s="26" t="s">
        <v>7</v>
      </c>
      <c r="E4649" s="30">
        <v>14</v>
      </c>
    </row>
    <row r="4650" spans="1:5" ht="12" customHeight="1" x14ac:dyDescent="0.2">
      <c r="D4650" s="26" t="s">
        <v>8</v>
      </c>
      <c r="E4650" s="30">
        <v>98</v>
      </c>
    </row>
    <row r="4651" spans="1:5" ht="12" customHeight="1" x14ac:dyDescent="0.2">
      <c r="D4651" s="26" t="s">
        <v>9</v>
      </c>
      <c r="E4651" s="30">
        <v>201</v>
      </c>
    </row>
    <row r="4652" spans="1:5" ht="12" customHeight="1" x14ac:dyDescent="0.2">
      <c r="D4652" s="26" t="s">
        <v>10</v>
      </c>
      <c r="E4652" s="30">
        <v>2</v>
      </c>
    </row>
    <row r="4653" spans="1:5" ht="12" customHeight="1" x14ac:dyDescent="0.2">
      <c r="D4653" s="26" t="s">
        <v>11</v>
      </c>
      <c r="E4653" s="30">
        <v>1</v>
      </c>
    </row>
    <row r="4654" spans="1:5" ht="12" customHeight="1" x14ac:dyDescent="0.2">
      <c r="D4654" s="26" t="s">
        <v>12</v>
      </c>
      <c r="E4654" s="30">
        <v>0</v>
      </c>
    </row>
    <row r="4655" spans="1:5" ht="12" customHeight="1" x14ac:dyDescent="0.2">
      <c r="D4655" s="26" t="s">
        <v>13</v>
      </c>
      <c r="E4655" s="30">
        <v>552</v>
      </c>
    </row>
    <row r="4656" spans="1:5" ht="12" customHeight="1" x14ac:dyDescent="0.25">
      <c r="A4656" s="2" t="s">
        <v>14</v>
      </c>
      <c r="B4656" s="3" t="s">
        <v>136</v>
      </c>
    </row>
    <row r="4657" spans="1:6" ht="10.95" customHeight="1" x14ac:dyDescent="0.2"/>
    <row r="4658" spans="1:6" ht="45" customHeight="1" x14ac:dyDescent="0.2">
      <c r="A4658" s="4" t="s">
        <v>15</v>
      </c>
      <c r="B4658" s="4" t="s">
        <v>131</v>
      </c>
      <c r="C4658" s="27" t="s">
        <v>17</v>
      </c>
      <c r="D4658" s="27" t="s">
        <v>103</v>
      </c>
      <c r="E4658" s="27" t="s">
        <v>19</v>
      </c>
    </row>
    <row r="4659" spans="1:6" ht="31.5" customHeight="1" x14ac:dyDescent="0.2">
      <c r="A4659" s="5">
        <v>1</v>
      </c>
      <c r="B4659" s="6" t="s">
        <v>190</v>
      </c>
      <c r="C4659" s="16"/>
      <c r="D4659" s="16"/>
      <c r="E4659" s="17">
        <f>E4660+E4667</f>
        <v>742339.31599999999</v>
      </c>
    </row>
    <row r="4660" spans="1:6" ht="15" customHeight="1" x14ac:dyDescent="0.2">
      <c r="A4660" s="7" t="s">
        <v>21</v>
      </c>
      <c r="B4660" s="6" t="s">
        <v>132</v>
      </c>
      <c r="C4660" s="16"/>
      <c r="D4660" s="16"/>
      <c r="E4660" s="17">
        <f>SUM(E4661:E4666)</f>
        <v>295561.86599999998</v>
      </c>
    </row>
    <row r="4661" spans="1:6" ht="11.25" customHeight="1" x14ac:dyDescent="0.2">
      <c r="A4661" s="15" t="s">
        <v>23</v>
      </c>
      <c r="B4661" s="9" t="s">
        <v>34</v>
      </c>
      <c r="C4661" s="16">
        <v>0.51</v>
      </c>
      <c r="D4661" s="16">
        <v>18781</v>
      </c>
      <c r="E4661" s="19">
        <f>ROUND(C4661*D4661,2)*12</f>
        <v>114939.72</v>
      </c>
      <c r="F4661" s="20"/>
    </row>
    <row r="4662" spans="1:6" ht="11.25" customHeight="1" x14ac:dyDescent="0.2">
      <c r="A4662" s="8" t="s">
        <v>31</v>
      </c>
      <c r="B4662" s="9" t="s">
        <v>36</v>
      </c>
      <c r="C4662" s="16">
        <v>0.46</v>
      </c>
      <c r="D4662" s="16">
        <v>18781</v>
      </c>
      <c r="E4662" s="19">
        <f>ROUND(C4662*D4662,2)*12</f>
        <v>103671.12</v>
      </c>
    </row>
    <row r="4663" spans="1:6" ht="11.25" customHeight="1" x14ac:dyDescent="0.2">
      <c r="A4663" s="8" t="s">
        <v>121</v>
      </c>
      <c r="B4663" s="9" t="s">
        <v>38</v>
      </c>
      <c r="C4663" s="16">
        <v>30.2</v>
      </c>
      <c r="D4663" s="16">
        <f>E4661</f>
        <v>114939.72</v>
      </c>
      <c r="E4663" s="19">
        <f>ROUND(C4663*D4663/100,2)</f>
        <v>34711.800000000003</v>
      </c>
    </row>
    <row r="4664" spans="1:6" ht="11.25" customHeight="1" x14ac:dyDescent="0.2">
      <c r="A4664" s="8" t="s">
        <v>186</v>
      </c>
      <c r="B4664" s="9" t="s">
        <v>40</v>
      </c>
      <c r="C4664" s="16">
        <v>30.2</v>
      </c>
      <c r="D4664" s="16">
        <f>E4662</f>
        <v>103671.12</v>
      </c>
      <c r="E4664" s="19">
        <f>ROUND(C4664*D4664/100,2)</f>
        <v>31308.68</v>
      </c>
    </row>
    <row r="4665" spans="1:6" ht="11.25" customHeight="1" x14ac:dyDescent="0.2">
      <c r="A4665" s="8" t="s">
        <v>187</v>
      </c>
      <c r="B4665" s="9" t="s">
        <v>42</v>
      </c>
      <c r="C4665" s="16"/>
      <c r="D4665" s="16"/>
      <c r="E4665" s="19">
        <f>ROUND(E4661*0.05,2)</f>
        <v>5746.99</v>
      </c>
    </row>
    <row r="4666" spans="1:6" ht="11.25" customHeight="1" x14ac:dyDescent="0.2">
      <c r="A4666" s="8" t="s">
        <v>188</v>
      </c>
      <c r="B4666" s="9" t="s">
        <v>44</v>
      </c>
      <c r="C4666" s="16"/>
      <c r="D4666" s="16"/>
      <c r="E4666" s="19">
        <f>E4662*0.05</f>
        <v>5183.5560000000005</v>
      </c>
    </row>
    <row r="4667" spans="1:6" ht="15" customHeight="1" x14ac:dyDescent="0.2">
      <c r="A4667" s="7" t="s">
        <v>45</v>
      </c>
      <c r="B4667" s="6" t="s">
        <v>189</v>
      </c>
      <c r="C4667" s="16"/>
      <c r="D4667" s="16"/>
      <c r="E4667" s="17">
        <f>E4668+E4669+E4670+E4671</f>
        <v>446777.45</v>
      </c>
    </row>
    <row r="4668" spans="1:6" ht="11.25" customHeight="1" x14ac:dyDescent="0.2">
      <c r="A4668" s="8" t="s">
        <v>47</v>
      </c>
      <c r="B4668" s="9" t="s">
        <v>48</v>
      </c>
      <c r="C4668" s="16">
        <v>1.2</v>
      </c>
      <c r="D4668" s="16">
        <v>18781</v>
      </c>
      <c r="E4668" s="19">
        <f>ROUND(C4668*D4668,2)*12</f>
        <v>270446.40000000002</v>
      </c>
      <c r="F4668" s="20"/>
    </row>
    <row r="4669" spans="1:6" ht="11.25" customHeight="1" x14ac:dyDescent="0.2">
      <c r="A4669" s="8" t="s">
        <v>49</v>
      </c>
      <c r="B4669" s="9" t="s">
        <v>50</v>
      </c>
      <c r="C4669" s="16">
        <v>30.2</v>
      </c>
      <c r="D4669" s="16">
        <f>E4668</f>
        <v>270446.40000000002</v>
      </c>
      <c r="E4669" s="19">
        <f>ROUND(C4669*D4669/100,2)</f>
        <v>81674.81</v>
      </c>
    </row>
    <row r="4670" spans="1:6" ht="11.25" customHeight="1" x14ac:dyDescent="0.2">
      <c r="A4670" s="8" t="s">
        <v>51</v>
      </c>
      <c r="B4670" s="9" t="s">
        <v>52</v>
      </c>
      <c r="C4670" s="16"/>
      <c r="D4670" s="16"/>
      <c r="E4670" s="19">
        <f>E4668*0.3</f>
        <v>81133.919999999998</v>
      </c>
    </row>
    <row r="4671" spans="1:6" ht="11.25" customHeight="1" x14ac:dyDescent="0.2">
      <c r="A4671" s="8" t="s">
        <v>53</v>
      </c>
      <c r="B4671" s="9" t="s">
        <v>54</v>
      </c>
      <c r="C4671" s="16"/>
      <c r="D4671" s="16"/>
      <c r="E4671" s="19">
        <f>E4668*0.05</f>
        <v>13522.320000000002</v>
      </c>
    </row>
    <row r="4672" spans="1:6" ht="20.100000000000001" customHeight="1" x14ac:dyDescent="0.2">
      <c r="A4672" s="5">
        <v>2</v>
      </c>
      <c r="B4672" s="6" t="s">
        <v>57</v>
      </c>
      <c r="C4672" s="16"/>
      <c r="D4672" s="16"/>
      <c r="E4672" s="17">
        <f>E4673+E4675+E4676+E4677+E4678+E4679+E4674</f>
        <v>333588.18999999994</v>
      </c>
    </row>
    <row r="4673" spans="1:5" ht="11.25" customHeight="1" x14ac:dyDescent="0.2">
      <c r="A4673" s="35" t="s">
        <v>58</v>
      </c>
      <c r="B4673" s="9" t="s">
        <v>204</v>
      </c>
      <c r="C4673" s="16">
        <v>291.45</v>
      </c>
      <c r="D4673" s="16">
        <f>E4673/C4673</f>
        <v>177.97001200892092</v>
      </c>
      <c r="E4673" s="19">
        <v>51869.36</v>
      </c>
    </row>
    <row r="4674" spans="1:5" ht="11.25" customHeight="1" x14ac:dyDescent="0.2">
      <c r="A4674" s="35" t="s">
        <v>60</v>
      </c>
      <c r="B4674" s="9" t="s">
        <v>195</v>
      </c>
      <c r="C4674" s="16">
        <v>291.45</v>
      </c>
      <c r="D4674" s="16">
        <f>E4674/C4674</f>
        <v>219.63341911133986</v>
      </c>
      <c r="E4674" s="19">
        <v>64012.160000000003</v>
      </c>
    </row>
    <row r="4675" spans="1:5" ht="11.25" customHeight="1" x14ac:dyDescent="0.2">
      <c r="A4675" s="35" t="s">
        <v>62</v>
      </c>
      <c r="B4675" s="9" t="s">
        <v>196</v>
      </c>
      <c r="C4675" s="16">
        <v>92.46</v>
      </c>
      <c r="D4675" s="16">
        <f>E4675/C4675</f>
        <v>848.40125459658225</v>
      </c>
      <c r="E4675" s="19">
        <v>78443.179999999993</v>
      </c>
    </row>
    <row r="4676" spans="1:5" ht="11.25" customHeight="1" x14ac:dyDescent="0.2">
      <c r="A4676" s="35" t="s">
        <v>64</v>
      </c>
      <c r="B4676" s="9" t="s">
        <v>63</v>
      </c>
      <c r="C4676" s="16">
        <f>E4676/D4676</f>
        <v>15554.881170018281</v>
      </c>
      <c r="D4676" s="16">
        <v>5.47</v>
      </c>
      <c r="E4676" s="19">
        <f>82050-3864.84+6900.04</f>
        <v>85085.2</v>
      </c>
    </row>
    <row r="4677" spans="1:5" ht="11.25" customHeight="1" x14ac:dyDescent="0.2">
      <c r="A4677" s="35" t="s">
        <v>66</v>
      </c>
      <c r="B4677" s="9" t="s">
        <v>65</v>
      </c>
      <c r="C4677" s="16">
        <f>E4677/D4677</f>
        <v>672.0256937307297</v>
      </c>
      <c r="D4677" s="16">
        <v>68.11</v>
      </c>
      <c r="E4677" s="19">
        <v>45771.67</v>
      </c>
    </row>
    <row r="4678" spans="1:5" ht="11.25" customHeight="1" x14ac:dyDescent="0.2">
      <c r="A4678" s="35" t="s">
        <v>68</v>
      </c>
      <c r="B4678" s="9" t="s">
        <v>69</v>
      </c>
      <c r="C4678" s="16">
        <v>442.7</v>
      </c>
      <c r="D4678" s="16">
        <f>E4678/C4678</f>
        <v>3.3499887056697539</v>
      </c>
      <c r="E4678" s="19">
        <v>1483.04</v>
      </c>
    </row>
    <row r="4679" spans="1:5" ht="11.25" customHeight="1" x14ac:dyDescent="0.2">
      <c r="A4679" s="35" t="s">
        <v>70</v>
      </c>
      <c r="B4679" s="9" t="s">
        <v>71</v>
      </c>
      <c r="C4679" s="16">
        <v>36.82</v>
      </c>
      <c r="D4679" s="16">
        <f>E4679/C4679</f>
        <v>188.03856599674089</v>
      </c>
      <c r="E4679" s="19">
        <v>6923.58</v>
      </c>
    </row>
    <row r="4680" spans="1:5" ht="20.100000000000001" customHeight="1" x14ac:dyDescent="0.2">
      <c r="A4680" s="5">
        <v>3</v>
      </c>
      <c r="B4680" s="6" t="s">
        <v>72</v>
      </c>
      <c r="C4680" s="16"/>
      <c r="D4680" s="16"/>
      <c r="E4680" s="17">
        <f>E4681+E4682+E4683+E4684+E4685+E4686+E4687+E4688+E4689+E4691+E4690</f>
        <v>246268.96988039973</v>
      </c>
    </row>
    <row r="4681" spans="1:5" ht="11.25" customHeight="1" x14ac:dyDescent="0.2">
      <c r="A4681" s="8" t="s">
        <v>73</v>
      </c>
      <c r="B4681" s="9" t="s">
        <v>74</v>
      </c>
      <c r="C4681" s="34">
        <v>2</v>
      </c>
      <c r="D4681" s="16">
        <f>E4681/C4681/12</f>
        <v>3872.3520833333332</v>
      </c>
      <c r="E4681" s="19">
        <v>92936.45</v>
      </c>
    </row>
    <row r="4682" spans="1:5" ht="11.25" customHeight="1" x14ac:dyDescent="0.2">
      <c r="A4682" s="8" t="s">
        <v>75</v>
      </c>
      <c r="B4682" s="9" t="s">
        <v>76</v>
      </c>
      <c r="C4682" s="34"/>
      <c r="D4682" s="16"/>
      <c r="E4682" s="19">
        <v>0</v>
      </c>
    </row>
    <row r="4683" spans="1:5" ht="11.25" customHeight="1" x14ac:dyDescent="0.2">
      <c r="A4683" s="8" t="s">
        <v>77</v>
      </c>
      <c r="B4683" s="9" t="s">
        <v>78</v>
      </c>
      <c r="C4683" s="34">
        <v>1</v>
      </c>
      <c r="D4683" s="16">
        <f>E4683/C4683/12</f>
        <v>4345.7524999999996</v>
      </c>
      <c r="E4683" s="19">
        <v>52149.03</v>
      </c>
    </row>
    <row r="4684" spans="1:5" ht="11.25" customHeight="1" x14ac:dyDescent="0.2">
      <c r="A4684" s="8" t="s">
        <v>79</v>
      </c>
      <c r="B4684" s="9" t="s">
        <v>80</v>
      </c>
      <c r="C4684" s="16">
        <v>4173.6000000000004</v>
      </c>
      <c r="D4684" s="16">
        <f>E4684/C4684</f>
        <v>4.1508649607053858</v>
      </c>
      <c r="E4684" s="19">
        <v>17324.05</v>
      </c>
    </row>
    <row r="4685" spans="1:5" ht="11.25" customHeight="1" x14ac:dyDescent="0.2">
      <c r="A4685" s="8" t="s">
        <v>81</v>
      </c>
      <c r="B4685" s="9" t="s">
        <v>82</v>
      </c>
      <c r="C4685" s="34">
        <v>196</v>
      </c>
      <c r="D4685" s="16">
        <f>E4685/C4685</f>
        <v>68.324897959183673</v>
      </c>
      <c r="E4685" s="19">
        <v>13391.68</v>
      </c>
    </row>
    <row r="4686" spans="1:5" ht="11.25" customHeight="1" x14ac:dyDescent="0.2">
      <c r="A4686" s="8" t="s">
        <v>83</v>
      </c>
      <c r="B4686" s="9" t="s">
        <v>194</v>
      </c>
      <c r="C4686" s="34">
        <v>98</v>
      </c>
      <c r="D4686" s="16">
        <f>E4686/C4686</f>
        <v>86.184489795918367</v>
      </c>
      <c r="E4686" s="19">
        <v>8446.08</v>
      </c>
    </row>
    <row r="4687" spans="1:5" ht="11.25" customHeight="1" x14ac:dyDescent="0.2">
      <c r="A4687" s="8" t="s">
        <v>85</v>
      </c>
      <c r="B4687" s="9" t="s">
        <v>86</v>
      </c>
      <c r="C4687" s="16">
        <v>0.5</v>
      </c>
      <c r="D4687" s="16">
        <f>E4687/C4687</f>
        <v>19206.259999999998</v>
      </c>
      <c r="E4687" s="19">
        <v>9603.1299999999992</v>
      </c>
    </row>
    <row r="4688" spans="1:5" ht="11.25" customHeight="1" x14ac:dyDescent="0.2">
      <c r="A4688" s="8" t="s">
        <v>87</v>
      </c>
      <c r="B4688" s="9" t="s">
        <v>88</v>
      </c>
      <c r="C4688" s="34">
        <v>98</v>
      </c>
      <c r="D4688" s="16">
        <f>E4688/C4688</f>
        <v>478.36214285714283</v>
      </c>
      <c r="E4688" s="19">
        <v>46879.49</v>
      </c>
    </row>
    <row r="4689" spans="1:6" ht="11.25" customHeight="1" x14ac:dyDescent="0.2">
      <c r="A4689" s="8" t="s">
        <v>89</v>
      </c>
      <c r="B4689" s="9" t="s">
        <v>90</v>
      </c>
      <c r="C4689" s="16"/>
      <c r="D4689" s="16"/>
      <c r="E4689" s="19">
        <v>0</v>
      </c>
    </row>
    <row r="4690" spans="1:6" ht="11.25" customHeight="1" x14ac:dyDescent="0.2">
      <c r="A4690" s="8" t="s">
        <v>91</v>
      </c>
      <c r="B4690" s="9" t="s">
        <v>202</v>
      </c>
      <c r="C4690" s="34">
        <v>2</v>
      </c>
      <c r="D4690" s="16">
        <f>E4690/C4690</f>
        <v>2769.5299401998955</v>
      </c>
      <c r="E4690" s="19">
        <f>2826.16*2*1.2*0.81663515754</f>
        <v>5539.0598803997909</v>
      </c>
    </row>
    <row r="4691" spans="1:6" ht="11.25" customHeight="1" x14ac:dyDescent="0.2">
      <c r="A4691" s="8" t="s">
        <v>203</v>
      </c>
      <c r="B4691" s="9" t="s">
        <v>92</v>
      </c>
      <c r="C4691" s="16"/>
      <c r="D4691" s="16"/>
      <c r="E4691" s="19">
        <v>0</v>
      </c>
    </row>
    <row r="4692" spans="1:6" ht="15" customHeight="1" x14ac:dyDescent="0.2">
      <c r="A4692" s="5">
        <v>4</v>
      </c>
      <c r="B4692" s="6" t="s">
        <v>193</v>
      </c>
      <c r="C4692" s="16"/>
      <c r="D4692" s="16"/>
      <c r="E4692" s="17">
        <f>F4693/1.1*0.1</f>
        <v>132219.64800000002</v>
      </c>
    </row>
    <row r="4693" spans="1:6" ht="18.75" customHeight="1" x14ac:dyDescent="0.2">
      <c r="A4693" s="10"/>
      <c r="B4693" s="11" t="s">
        <v>94</v>
      </c>
      <c r="C4693" s="21"/>
      <c r="D4693" s="21"/>
      <c r="E4693" s="17">
        <f>E4659+E4672+E4680+E4692</f>
        <v>1454416.1238803999</v>
      </c>
      <c r="F4693" s="25">
        <f>E4646*29.04*12</f>
        <v>1454416.128</v>
      </c>
    </row>
    <row r="4694" spans="1:6" ht="15" customHeight="1" x14ac:dyDescent="0.25">
      <c r="A4694" s="10"/>
      <c r="B4694" s="11" t="s">
        <v>199</v>
      </c>
      <c r="C4694" s="21"/>
      <c r="D4694" s="21"/>
      <c r="E4694" s="22">
        <v>29.04</v>
      </c>
    </row>
    <row r="4695" spans="1:6" ht="10.95" customHeight="1" x14ac:dyDescent="0.2"/>
    <row r="4696" spans="1:6" ht="10.95" customHeight="1" x14ac:dyDescent="0.2"/>
    <row r="4697" spans="1:6" ht="10.95" customHeight="1" x14ac:dyDescent="0.2"/>
    <row r="4698" spans="1:6" ht="15" customHeight="1" x14ac:dyDescent="0.25">
      <c r="B4698" s="12" t="s">
        <v>96</v>
      </c>
    </row>
    <row r="4699" spans="1:6" ht="12" customHeight="1" x14ac:dyDescent="0.2"/>
    <row r="4700" spans="1:6" ht="13.2" customHeight="1" x14ac:dyDescent="0.25">
      <c r="B4700" s="3" t="s">
        <v>97</v>
      </c>
    </row>
    <row r="4701" spans="1:6" ht="7.95" customHeight="1" x14ac:dyDescent="0.2"/>
    <row r="4702" spans="1:6" ht="12" customHeight="1" x14ac:dyDescent="0.25">
      <c r="B4702" s="41" t="s">
        <v>100</v>
      </c>
      <c r="C4702" s="41"/>
      <c r="D4702" s="41"/>
      <c r="E4702" s="41"/>
    </row>
    <row r="4703" spans="1:6" ht="10.95" customHeight="1" x14ac:dyDescent="0.2"/>
    <row r="4704" spans="1:6" ht="10.95" customHeight="1" x14ac:dyDescent="0.2"/>
    <row r="4705" spans="1:5" ht="10.95" customHeight="1" x14ac:dyDescent="0.2"/>
    <row r="4706" spans="1:5" ht="16.2" customHeight="1" x14ac:dyDescent="0.2">
      <c r="A4706" s="39" t="s">
        <v>0</v>
      </c>
      <c r="B4706" s="39"/>
      <c r="C4706" s="39"/>
      <c r="D4706" s="39"/>
      <c r="E4706" s="39"/>
    </row>
    <row r="4707" spans="1:5" ht="10.95" customHeight="1" x14ac:dyDescent="0.2">
      <c r="A4707" s="40" t="s">
        <v>1</v>
      </c>
      <c r="B4707" s="40"/>
      <c r="C4707" s="40"/>
      <c r="D4707" s="40"/>
      <c r="E4707" s="40"/>
    </row>
    <row r="4708" spans="1:5" ht="13.2" customHeight="1" x14ac:dyDescent="0.2">
      <c r="A4708" s="40" t="s">
        <v>198</v>
      </c>
      <c r="B4708" s="40"/>
      <c r="C4708" s="40"/>
      <c r="D4708" s="40"/>
      <c r="E4708" s="40"/>
    </row>
    <row r="4709" spans="1:5" ht="10.95" customHeight="1" x14ac:dyDescent="0.2"/>
    <row r="4710" spans="1:5" ht="10.95" customHeight="1" x14ac:dyDescent="0.2">
      <c r="C4710" s="42" t="s">
        <v>3</v>
      </c>
      <c r="D4710" s="42"/>
      <c r="E4710" s="42"/>
    </row>
    <row r="4711" spans="1:5" ht="12" customHeight="1" x14ac:dyDescent="0.2">
      <c r="D4711" s="26" t="s">
        <v>4</v>
      </c>
      <c r="E4711" s="24">
        <v>3986</v>
      </c>
    </row>
    <row r="4712" spans="1:5" ht="12" customHeight="1" x14ac:dyDescent="0.2">
      <c r="D4712" s="26" t="s">
        <v>5</v>
      </c>
      <c r="E4712" s="23">
        <v>1236.7</v>
      </c>
    </row>
    <row r="4713" spans="1:5" ht="12" customHeight="1" x14ac:dyDescent="0.2">
      <c r="D4713" s="26" t="s">
        <v>6</v>
      </c>
      <c r="E4713" s="30">
        <v>1</v>
      </c>
    </row>
    <row r="4714" spans="1:5" ht="12" customHeight="1" x14ac:dyDescent="0.2">
      <c r="D4714" s="26" t="s">
        <v>7</v>
      </c>
      <c r="E4714" s="30">
        <v>14</v>
      </c>
    </row>
    <row r="4715" spans="1:5" ht="12" customHeight="1" x14ac:dyDescent="0.2">
      <c r="D4715" s="26" t="s">
        <v>8</v>
      </c>
      <c r="E4715" s="30">
        <v>93</v>
      </c>
    </row>
    <row r="4716" spans="1:5" ht="12" customHeight="1" x14ac:dyDescent="0.2">
      <c r="D4716" s="26" t="s">
        <v>9</v>
      </c>
      <c r="E4716" s="30">
        <v>196</v>
      </c>
    </row>
    <row r="4717" spans="1:5" ht="12" customHeight="1" x14ac:dyDescent="0.2">
      <c r="D4717" s="26" t="s">
        <v>10</v>
      </c>
      <c r="E4717" s="30">
        <v>2</v>
      </c>
    </row>
    <row r="4718" spans="1:5" ht="12" customHeight="1" x14ac:dyDescent="0.2">
      <c r="D4718" s="26" t="s">
        <v>11</v>
      </c>
      <c r="E4718" s="30">
        <v>1</v>
      </c>
    </row>
    <row r="4719" spans="1:5" ht="12" customHeight="1" x14ac:dyDescent="0.2">
      <c r="D4719" s="26" t="s">
        <v>12</v>
      </c>
      <c r="E4719" s="30">
        <v>0</v>
      </c>
    </row>
    <row r="4720" spans="1:5" ht="12" customHeight="1" x14ac:dyDescent="0.2">
      <c r="D4720" s="26" t="s">
        <v>13</v>
      </c>
      <c r="E4720" s="30">
        <v>589</v>
      </c>
    </row>
    <row r="4721" spans="1:6" ht="12" customHeight="1" x14ac:dyDescent="0.25">
      <c r="A4721" s="2" t="s">
        <v>14</v>
      </c>
      <c r="B4721" s="3" t="s">
        <v>185</v>
      </c>
    </row>
    <row r="4722" spans="1:6" ht="10.95" customHeight="1" x14ac:dyDescent="0.2"/>
    <row r="4723" spans="1:6" ht="45" customHeight="1" x14ac:dyDescent="0.2">
      <c r="A4723" s="4" t="s">
        <v>15</v>
      </c>
      <c r="B4723" s="4" t="s">
        <v>131</v>
      </c>
      <c r="C4723" s="27" t="s">
        <v>17</v>
      </c>
      <c r="D4723" s="27" t="s">
        <v>103</v>
      </c>
      <c r="E4723" s="27" t="s">
        <v>19</v>
      </c>
    </row>
    <row r="4724" spans="1:6" ht="31.5" customHeight="1" x14ac:dyDescent="0.2">
      <c r="A4724" s="5">
        <v>1</v>
      </c>
      <c r="B4724" s="6" t="s">
        <v>190</v>
      </c>
      <c r="C4724" s="16"/>
      <c r="D4724" s="16"/>
      <c r="E4724" s="17">
        <f>E4725+E4732</f>
        <v>617447.15799999994</v>
      </c>
    </row>
    <row r="4725" spans="1:6" ht="15" customHeight="1" x14ac:dyDescent="0.2">
      <c r="A4725" s="7" t="s">
        <v>21</v>
      </c>
      <c r="B4725" s="6" t="s">
        <v>132</v>
      </c>
      <c r="C4725" s="16"/>
      <c r="D4725" s="16"/>
      <c r="E4725" s="17">
        <f>SUM(E4726:E4731)</f>
        <v>304702.93999999994</v>
      </c>
    </row>
    <row r="4726" spans="1:6" ht="11.25" customHeight="1" x14ac:dyDescent="0.2">
      <c r="A4726" s="15" t="s">
        <v>23</v>
      </c>
      <c r="B4726" s="9" t="s">
        <v>34</v>
      </c>
      <c r="C4726" s="16">
        <v>0.55000000000000004</v>
      </c>
      <c r="D4726" s="16">
        <v>18781</v>
      </c>
      <c r="E4726" s="19">
        <f>ROUND(C4726*D4726,2)*12</f>
        <v>123954.59999999999</v>
      </c>
      <c r="F4726" s="20"/>
    </row>
    <row r="4727" spans="1:6" ht="11.25" customHeight="1" x14ac:dyDescent="0.2">
      <c r="A4727" s="8" t="s">
        <v>31</v>
      </c>
      <c r="B4727" s="9" t="s">
        <v>36</v>
      </c>
      <c r="C4727" s="16">
        <v>0.45</v>
      </c>
      <c r="D4727" s="16">
        <v>18781</v>
      </c>
      <c r="E4727" s="19">
        <f>ROUND(C4727*D4727,2)*12</f>
        <v>101417.40000000001</v>
      </c>
    </row>
    <row r="4728" spans="1:6" ht="11.25" customHeight="1" x14ac:dyDescent="0.2">
      <c r="A4728" s="8" t="s">
        <v>121</v>
      </c>
      <c r="B4728" s="9" t="s">
        <v>38</v>
      </c>
      <c r="C4728" s="16">
        <v>30.2</v>
      </c>
      <c r="D4728" s="16">
        <f>E4726</f>
        <v>123954.59999999999</v>
      </c>
      <c r="E4728" s="19">
        <f>ROUND(C4728*D4728/100,2)</f>
        <v>37434.29</v>
      </c>
    </row>
    <row r="4729" spans="1:6" ht="11.25" customHeight="1" x14ac:dyDescent="0.2">
      <c r="A4729" s="8" t="s">
        <v>186</v>
      </c>
      <c r="B4729" s="9" t="s">
        <v>40</v>
      </c>
      <c r="C4729" s="16">
        <v>30.2</v>
      </c>
      <c r="D4729" s="16">
        <f>E4727</f>
        <v>101417.40000000001</v>
      </c>
      <c r="E4729" s="19">
        <f>ROUND(C4729*D4729/100,2)</f>
        <v>30628.05</v>
      </c>
    </row>
    <row r="4730" spans="1:6" ht="11.25" customHeight="1" x14ac:dyDescent="0.2">
      <c r="A4730" s="8" t="s">
        <v>187</v>
      </c>
      <c r="B4730" s="9" t="s">
        <v>42</v>
      </c>
      <c r="C4730" s="16"/>
      <c r="D4730" s="16"/>
      <c r="E4730" s="19">
        <f>E4726*0.05</f>
        <v>6197.73</v>
      </c>
    </row>
    <row r="4731" spans="1:6" ht="11.25" customHeight="1" x14ac:dyDescent="0.2">
      <c r="A4731" s="8" t="s">
        <v>188</v>
      </c>
      <c r="B4731" s="9" t="s">
        <v>44</v>
      </c>
      <c r="C4731" s="16"/>
      <c r="D4731" s="16"/>
      <c r="E4731" s="19">
        <f>E4727*0.05</f>
        <v>5070.8700000000008</v>
      </c>
    </row>
    <row r="4732" spans="1:6" ht="15" customHeight="1" x14ac:dyDescent="0.2">
      <c r="A4732" s="7" t="s">
        <v>45</v>
      </c>
      <c r="B4732" s="6" t="s">
        <v>189</v>
      </c>
      <c r="C4732" s="16"/>
      <c r="D4732" s="16"/>
      <c r="E4732" s="17">
        <f>E4733+E4734+E4735+E4736</f>
        <v>312744.21799999999</v>
      </c>
    </row>
    <row r="4733" spans="1:6" ht="11.25" customHeight="1" x14ac:dyDescent="0.2">
      <c r="A4733" s="8" t="s">
        <v>47</v>
      </c>
      <c r="B4733" s="9" t="s">
        <v>48</v>
      </c>
      <c r="C4733" s="16">
        <v>0.84</v>
      </c>
      <c r="D4733" s="16">
        <v>18781</v>
      </c>
      <c r="E4733" s="19">
        <f>ROUND(C4733*D4733,2)*12</f>
        <v>189312.48</v>
      </c>
      <c r="F4733" s="20"/>
    </row>
    <row r="4734" spans="1:6" ht="11.25" customHeight="1" x14ac:dyDescent="0.2">
      <c r="A4734" s="8" t="s">
        <v>49</v>
      </c>
      <c r="B4734" s="9" t="s">
        <v>50</v>
      </c>
      <c r="C4734" s="16">
        <v>30.2</v>
      </c>
      <c r="D4734" s="16">
        <f>E4733</f>
        <v>189312.48</v>
      </c>
      <c r="E4734" s="19">
        <f>ROUND(C4734*D4734/100,2)</f>
        <v>57172.37</v>
      </c>
    </row>
    <row r="4735" spans="1:6" ht="11.25" customHeight="1" x14ac:dyDescent="0.2">
      <c r="A4735" s="8" t="s">
        <v>51</v>
      </c>
      <c r="B4735" s="9" t="s">
        <v>52</v>
      </c>
      <c r="C4735" s="16"/>
      <c r="D4735" s="16"/>
      <c r="E4735" s="19">
        <f>E4733*0.3</f>
        <v>56793.743999999999</v>
      </c>
    </row>
    <row r="4736" spans="1:6" ht="11.25" customHeight="1" x14ac:dyDescent="0.2">
      <c r="A4736" s="8" t="s">
        <v>53</v>
      </c>
      <c r="B4736" s="9" t="s">
        <v>54</v>
      </c>
      <c r="C4736" s="16"/>
      <c r="D4736" s="16"/>
      <c r="E4736" s="19">
        <f>E4733*0.05</f>
        <v>9465.6240000000016</v>
      </c>
    </row>
    <row r="4737" spans="1:5" ht="20.100000000000001" customHeight="1" x14ac:dyDescent="0.2">
      <c r="A4737" s="5">
        <v>2</v>
      </c>
      <c r="B4737" s="6" t="s">
        <v>57</v>
      </c>
      <c r="C4737" s="16"/>
      <c r="D4737" s="16"/>
      <c r="E4737" s="17">
        <f>E4738+E4740+E4741+E4742+E4743+E4744+E4739</f>
        <v>417339.05000000005</v>
      </c>
    </row>
    <row r="4738" spans="1:5" ht="11.25" customHeight="1" x14ac:dyDescent="0.2">
      <c r="A4738" s="35" t="s">
        <v>58</v>
      </c>
      <c r="B4738" s="9" t="s">
        <v>204</v>
      </c>
      <c r="C4738" s="16">
        <v>284.2</v>
      </c>
      <c r="D4738" s="16">
        <f>E4738/C4738</f>
        <v>177.96998592540464</v>
      </c>
      <c r="E4738" s="19">
        <v>50579.07</v>
      </c>
    </row>
    <row r="4739" spans="1:5" ht="11.25" customHeight="1" x14ac:dyDescent="0.2">
      <c r="A4739" s="35" t="s">
        <v>60</v>
      </c>
      <c r="B4739" s="9" t="s">
        <v>195</v>
      </c>
      <c r="C4739" s="16">
        <v>284.2</v>
      </c>
      <c r="D4739" s="16">
        <f>E4739/C4739</f>
        <v>219.63342716396903</v>
      </c>
      <c r="E4739" s="19">
        <v>62419.82</v>
      </c>
    </row>
    <row r="4740" spans="1:5" ht="11.25" customHeight="1" x14ac:dyDescent="0.2">
      <c r="A4740" s="35" t="s">
        <v>62</v>
      </c>
      <c r="B4740" s="9" t="s">
        <v>196</v>
      </c>
      <c r="C4740" s="16">
        <v>90.16</v>
      </c>
      <c r="D4740" s="16">
        <f>E4740/C4740</f>
        <v>848.40128660159723</v>
      </c>
      <c r="E4740" s="19">
        <v>76491.86</v>
      </c>
    </row>
    <row r="4741" spans="1:5" ht="11.25" customHeight="1" x14ac:dyDescent="0.2">
      <c r="A4741" s="35" t="s">
        <v>64</v>
      </c>
      <c r="B4741" s="9" t="s">
        <v>63</v>
      </c>
      <c r="C4741" s="16">
        <f>E4741/D4741</f>
        <v>30165.029250457039</v>
      </c>
      <c r="D4741" s="16">
        <v>5.47</v>
      </c>
      <c r="E4741" s="19">
        <f>218800-53797.29</f>
        <v>165002.71</v>
      </c>
    </row>
    <row r="4742" spans="1:5" ht="11.25" customHeight="1" x14ac:dyDescent="0.2">
      <c r="A4742" s="35" t="s">
        <v>66</v>
      </c>
      <c r="B4742" s="9" t="s">
        <v>65</v>
      </c>
      <c r="C4742" s="16">
        <f>E4742/D4742</f>
        <v>799.61459403905451</v>
      </c>
      <c r="D4742" s="16">
        <v>68.11</v>
      </c>
      <c r="E4742" s="19">
        <f>47561.71+6900.04</f>
        <v>54461.75</v>
      </c>
    </row>
    <row r="4743" spans="1:5" ht="11.25" customHeight="1" x14ac:dyDescent="0.2">
      <c r="A4743" s="35" t="s">
        <v>68</v>
      </c>
      <c r="B4743" s="9" t="s">
        <v>69</v>
      </c>
      <c r="C4743" s="16">
        <v>435.9</v>
      </c>
      <c r="D4743" s="16">
        <f>E4743/C4743</f>
        <v>3.3499885294792384</v>
      </c>
      <c r="E4743" s="19">
        <v>1460.26</v>
      </c>
    </row>
    <row r="4744" spans="1:5" ht="11.25" customHeight="1" x14ac:dyDescent="0.2">
      <c r="A4744" s="35" t="s">
        <v>70</v>
      </c>
      <c r="B4744" s="9" t="s">
        <v>71</v>
      </c>
      <c r="C4744" s="16">
        <v>36.82</v>
      </c>
      <c r="D4744" s="16">
        <f>E4744/C4744</f>
        <v>188.03856599674089</v>
      </c>
      <c r="E4744" s="19">
        <v>6923.58</v>
      </c>
    </row>
    <row r="4745" spans="1:5" ht="20.100000000000001" customHeight="1" x14ac:dyDescent="0.2">
      <c r="A4745" s="5">
        <v>3</v>
      </c>
      <c r="B4745" s="6" t="s">
        <v>72</v>
      </c>
      <c r="C4745" s="16"/>
      <c r="D4745" s="16"/>
      <c r="E4745" s="17">
        <f>E4746+E4747+E4748+E4749+E4750+E4751+E4752+E4753+E4754+E4756+E4755</f>
        <v>251363.11988039981</v>
      </c>
    </row>
    <row r="4746" spans="1:5" ht="11.25" customHeight="1" x14ac:dyDescent="0.2">
      <c r="A4746" s="8" t="s">
        <v>73</v>
      </c>
      <c r="B4746" s="9" t="s">
        <v>74</v>
      </c>
      <c r="C4746" s="34">
        <v>2</v>
      </c>
      <c r="D4746" s="16">
        <f>E4746/C4746/12</f>
        <v>4038.5520833333335</v>
      </c>
      <c r="E4746" s="19">
        <v>96925.25</v>
      </c>
    </row>
    <row r="4747" spans="1:5" ht="11.25" customHeight="1" x14ac:dyDescent="0.2">
      <c r="A4747" s="8" t="s">
        <v>75</v>
      </c>
      <c r="B4747" s="9" t="s">
        <v>76</v>
      </c>
      <c r="C4747" s="34"/>
      <c r="D4747" s="16"/>
      <c r="E4747" s="19">
        <v>0</v>
      </c>
    </row>
    <row r="4748" spans="1:5" ht="11.25" customHeight="1" x14ac:dyDescent="0.2">
      <c r="A4748" s="8" t="s">
        <v>77</v>
      </c>
      <c r="B4748" s="9" t="s">
        <v>78</v>
      </c>
      <c r="C4748" s="34">
        <v>1</v>
      </c>
      <c r="D4748" s="16">
        <f>E4748/C4748/12</f>
        <v>4345.7524999999996</v>
      </c>
      <c r="E4748" s="19">
        <v>52149.03</v>
      </c>
    </row>
    <row r="4749" spans="1:5" ht="11.25" customHeight="1" x14ac:dyDescent="0.2">
      <c r="A4749" s="8" t="s">
        <v>79</v>
      </c>
      <c r="B4749" s="9" t="s">
        <v>80</v>
      </c>
      <c r="C4749" s="16">
        <v>3986</v>
      </c>
      <c r="D4749" s="16">
        <f>E4749/C4749</f>
        <v>5.437674360260913</v>
      </c>
      <c r="E4749" s="19">
        <v>21674.57</v>
      </c>
    </row>
    <row r="4750" spans="1:5" ht="11.25" customHeight="1" x14ac:dyDescent="0.2">
      <c r="A4750" s="8" t="s">
        <v>81</v>
      </c>
      <c r="B4750" s="9" t="s">
        <v>82</v>
      </c>
      <c r="C4750" s="34">
        <v>186</v>
      </c>
      <c r="D4750" s="16">
        <f>E4750/C4750</f>
        <v>68.498817204301076</v>
      </c>
      <c r="E4750" s="19">
        <v>12740.78</v>
      </c>
    </row>
    <row r="4751" spans="1:5" ht="11.25" customHeight="1" x14ac:dyDescent="0.2">
      <c r="A4751" s="8" t="s">
        <v>83</v>
      </c>
      <c r="B4751" s="9" t="s">
        <v>194</v>
      </c>
      <c r="C4751" s="34">
        <v>93</v>
      </c>
      <c r="D4751" s="16">
        <f>E4751/C4751</f>
        <v>86.706451612903223</v>
      </c>
      <c r="E4751" s="19">
        <v>8063.7</v>
      </c>
    </row>
    <row r="4752" spans="1:5" ht="11.25" customHeight="1" x14ac:dyDescent="0.2">
      <c r="A4752" s="8" t="s">
        <v>85</v>
      </c>
      <c r="B4752" s="9" t="s">
        <v>86</v>
      </c>
      <c r="C4752" s="16">
        <v>0.5</v>
      </c>
      <c r="D4752" s="16">
        <f>E4752/C4752</f>
        <v>19206.259999999998</v>
      </c>
      <c r="E4752" s="19">
        <v>9603.1299999999992</v>
      </c>
    </row>
    <row r="4753" spans="1:6" ht="11.25" customHeight="1" x14ac:dyDescent="0.2">
      <c r="A4753" s="8" t="s">
        <v>87</v>
      </c>
      <c r="B4753" s="9" t="s">
        <v>88</v>
      </c>
      <c r="C4753" s="34">
        <v>93</v>
      </c>
      <c r="D4753" s="16">
        <f>E4753/C4753</f>
        <v>480.29677419354834</v>
      </c>
      <c r="E4753" s="19">
        <v>44667.6</v>
      </c>
    </row>
    <row r="4754" spans="1:6" ht="11.25" customHeight="1" x14ac:dyDescent="0.2">
      <c r="A4754" s="8" t="s">
        <v>89</v>
      </c>
      <c r="B4754" s="9" t="s">
        <v>90</v>
      </c>
      <c r="C4754" s="16"/>
      <c r="D4754" s="16"/>
      <c r="E4754" s="19">
        <v>0</v>
      </c>
    </row>
    <row r="4755" spans="1:6" ht="11.25" customHeight="1" x14ac:dyDescent="0.2">
      <c r="A4755" s="8" t="s">
        <v>91</v>
      </c>
      <c r="B4755" s="9" t="s">
        <v>202</v>
      </c>
      <c r="C4755" s="34">
        <v>2</v>
      </c>
      <c r="D4755" s="16">
        <f>E4755/C4755</f>
        <v>2769.5299401998955</v>
      </c>
      <c r="E4755" s="19">
        <f>2826.16*2*1.2*0.81663515754</f>
        <v>5539.0598803997909</v>
      </c>
    </row>
    <row r="4756" spans="1:6" ht="11.25" customHeight="1" x14ac:dyDescent="0.2">
      <c r="A4756" s="8" t="s">
        <v>203</v>
      </c>
      <c r="B4756" s="9" t="s">
        <v>92</v>
      </c>
      <c r="C4756" s="16"/>
      <c r="D4756" s="16"/>
      <c r="E4756" s="19">
        <v>0</v>
      </c>
    </row>
    <row r="4757" spans="1:6" ht="15" customHeight="1" x14ac:dyDescent="0.2">
      <c r="A4757" s="5">
        <v>4</v>
      </c>
      <c r="B4757" s="6" t="s">
        <v>193</v>
      </c>
      <c r="C4757" s="16"/>
      <c r="D4757" s="16"/>
      <c r="E4757" s="17">
        <f>ROUND(F4758/1.08*0.08,2)</f>
        <v>102891.95</v>
      </c>
    </row>
    <row r="4758" spans="1:6" ht="18.75" customHeight="1" x14ac:dyDescent="0.2">
      <c r="A4758" s="10"/>
      <c r="B4758" s="11" t="s">
        <v>94</v>
      </c>
      <c r="C4758" s="21"/>
      <c r="D4758" s="21"/>
      <c r="E4758" s="17">
        <f>E4724+E4737+E4745+E4757</f>
        <v>1389041.2778803997</v>
      </c>
      <c r="F4758" s="25">
        <f>E4711*29.04*12</f>
        <v>1389041.28</v>
      </c>
    </row>
    <row r="4759" spans="1:6" ht="15" customHeight="1" x14ac:dyDescent="0.25">
      <c r="A4759" s="10"/>
      <c r="B4759" s="11" t="s">
        <v>199</v>
      </c>
      <c r="C4759" s="21"/>
      <c r="D4759" s="21"/>
      <c r="E4759" s="22">
        <v>29.04</v>
      </c>
    </row>
    <row r="4760" spans="1:6" ht="10.95" customHeight="1" x14ac:dyDescent="0.2"/>
    <row r="4761" spans="1:6" ht="10.95" customHeight="1" x14ac:dyDescent="0.2"/>
    <row r="4762" spans="1:6" ht="10.95" customHeight="1" x14ac:dyDescent="0.2"/>
    <row r="4763" spans="1:6" ht="15" customHeight="1" x14ac:dyDescent="0.25">
      <c r="B4763" s="12" t="s">
        <v>96</v>
      </c>
    </row>
    <row r="4764" spans="1:6" ht="12" customHeight="1" x14ac:dyDescent="0.2"/>
    <row r="4765" spans="1:6" ht="13.2" customHeight="1" x14ac:dyDescent="0.25">
      <c r="B4765" s="3" t="s">
        <v>97</v>
      </c>
    </row>
    <row r="4766" spans="1:6" ht="7.95" customHeight="1" x14ac:dyDescent="0.2"/>
  </sheetData>
  <mergeCells count="365">
    <mergeCell ref="C9:E9"/>
    <mergeCell ref="B71:E71"/>
    <mergeCell ref="A75:E75"/>
    <mergeCell ref="A76:E76"/>
    <mergeCell ref="B1:E1"/>
    <mergeCell ref="A5:E5"/>
    <mergeCell ref="A6:E6"/>
    <mergeCell ref="A7:E7"/>
    <mergeCell ref="B284:E284"/>
    <mergeCell ref="A288:E288"/>
    <mergeCell ref="A289:E289"/>
    <mergeCell ref="A290:E290"/>
    <mergeCell ref="C292:E292"/>
    <mergeCell ref="B349:E349"/>
    <mergeCell ref="A77:E77"/>
    <mergeCell ref="C79:E79"/>
    <mergeCell ref="A214:E214"/>
    <mergeCell ref="A215:E215"/>
    <mergeCell ref="B142:E142"/>
    <mergeCell ref="A145:E145"/>
    <mergeCell ref="C217:E217"/>
    <mergeCell ref="B280:E280"/>
    <mergeCell ref="A146:E146"/>
    <mergeCell ref="A147:E147"/>
    <mergeCell ref="C149:E149"/>
    <mergeCell ref="A213:E213"/>
    <mergeCell ref="A417:E417"/>
    <mergeCell ref="A418:E418"/>
    <mergeCell ref="C420:E420"/>
    <mergeCell ref="B477:E477"/>
    <mergeCell ref="A481:E481"/>
    <mergeCell ref="A482:E482"/>
    <mergeCell ref="A353:E353"/>
    <mergeCell ref="A354:E354"/>
    <mergeCell ref="A355:E355"/>
    <mergeCell ref="C357:E357"/>
    <mergeCell ref="B412:E412"/>
    <mergeCell ref="A416:E416"/>
    <mergeCell ref="C550:E550"/>
    <mergeCell ref="B607:E607"/>
    <mergeCell ref="A611:E611"/>
    <mergeCell ref="A612:E612"/>
    <mergeCell ref="A613:E613"/>
    <mergeCell ref="C615:E615"/>
    <mergeCell ref="A483:E483"/>
    <mergeCell ref="C485:E485"/>
    <mergeCell ref="B542:E542"/>
    <mergeCell ref="A546:E546"/>
    <mergeCell ref="A547:E547"/>
    <mergeCell ref="A548:E548"/>
    <mergeCell ref="A741:E741"/>
    <mergeCell ref="A742:E742"/>
    <mergeCell ref="A743:E743"/>
    <mergeCell ref="C745:E745"/>
    <mergeCell ref="B802:E802"/>
    <mergeCell ref="A806:E806"/>
    <mergeCell ref="B672:E672"/>
    <mergeCell ref="A676:E676"/>
    <mergeCell ref="A677:E677"/>
    <mergeCell ref="A678:E678"/>
    <mergeCell ref="C680:E680"/>
    <mergeCell ref="B737:E737"/>
    <mergeCell ref="A873:E873"/>
    <mergeCell ref="C875:E875"/>
    <mergeCell ref="B932:E932"/>
    <mergeCell ref="A936:E936"/>
    <mergeCell ref="A937:E937"/>
    <mergeCell ref="A938:E938"/>
    <mergeCell ref="A807:E807"/>
    <mergeCell ref="A808:E808"/>
    <mergeCell ref="C810:E810"/>
    <mergeCell ref="B867:E867"/>
    <mergeCell ref="A871:E871"/>
    <mergeCell ref="A872:E872"/>
    <mergeCell ref="B1063:E1063"/>
    <mergeCell ref="A1067:E1067"/>
    <mergeCell ref="A1068:E1068"/>
    <mergeCell ref="A1069:E1069"/>
    <mergeCell ref="C1071:E1071"/>
    <mergeCell ref="B1128:E1128"/>
    <mergeCell ref="C940:E940"/>
    <mergeCell ref="B997:E997"/>
    <mergeCell ref="A1001:E1001"/>
    <mergeCell ref="A1002:E1002"/>
    <mergeCell ref="A1003:E1003"/>
    <mergeCell ref="C1005:E1005"/>
    <mergeCell ref="A1198:E1198"/>
    <mergeCell ref="A1199:E1199"/>
    <mergeCell ref="C1201:E1201"/>
    <mergeCell ref="B1258:E1258"/>
    <mergeCell ref="A1262:E1262"/>
    <mergeCell ref="A1263:E1263"/>
    <mergeCell ref="A1132:E1132"/>
    <mergeCell ref="A1133:E1133"/>
    <mergeCell ref="A1134:E1134"/>
    <mergeCell ref="C1136:E1136"/>
    <mergeCell ref="B1193:E1193"/>
    <mergeCell ref="A1197:E1197"/>
    <mergeCell ref="C1331:E1331"/>
    <mergeCell ref="B1388:E1388"/>
    <mergeCell ref="A1392:E1392"/>
    <mergeCell ref="A1393:E1393"/>
    <mergeCell ref="A1394:E1394"/>
    <mergeCell ref="C1396:E1396"/>
    <mergeCell ref="A1264:E1264"/>
    <mergeCell ref="C1266:E1266"/>
    <mergeCell ref="B1323:E1323"/>
    <mergeCell ref="A1327:E1327"/>
    <mergeCell ref="A1328:E1328"/>
    <mergeCell ref="A1329:E1329"/>
    <mergeCell ref="A1522:E1522"/>
    <mergeCell ref="A1523:E1523"/>
    <mergeCell ref="A1524:E1524"/>
    <mergeCell ref="C1526:E1526"/>
    <mergeCell ref="B1583:E1583"/>
    <mergeCell ref="A1587:E1587"/>
    <mergeCell ref="B1453:E1453"/>
    <mergeCell ref="A1457:E1457"/>
    <mergeCell ref="A1458:E1458"/>
    <mergeCell ref="A1459:E1459"/>
    <mergeCell ref="C1461:E1461"/>
    <mergeCell ref="B1518:E1518"/>
    <mergeCell ref="A1654:E1654"/>
    <mergeCell ref="C1656:E1656"/>
    <mergeCell ref="B1713:E1713"/>
    <mergeCell ref="A1717:E1717"/>
    <mergeCell ref="A1718:E1718"/>
    <mergeCell ref="A1719:E1719"/>
    <mergeCell ref="A1588:E1588"/>
    <mergeCell ref="A1589:E1589"/>
    <mergeCell ref="C1591:E1591"/>
    <mergeCell ref="B1648:E1648"/>
    <mergeCell ref="A1652:E1652"/>
    <mergeCell ref="A1653:E1653"/>
    <mergeCell ref="B1843:E1843"/>
    <mergeCell ref="A1847:E1847"/>
    <mergeCell ref="A1848:E1848"/>
    <mergeCell ref="A1849:E1849"/>
    <mergeCell ref="C1851:E1851"/>
    <mergeCell ref="B1908:E1908"/>
    <mergeCell ref="C1721:E1721"/>
    <mergeCell ref="B1778:E1778"/>
    <mergeCell ref="A1782:E1782"/>
    <mergeCell ref="A1783:E1783"/>
    <mergeCell ref="A1784:E1784"/>
    <mergeCell ref="C1786:E1786"/>
    <mergeCell ref="A1978:E1978"/>
    <mergeCell ref="A1979:E1979"/>
    <mergeCell ref="C1981:E1981"/>
    <mergeCell ref="B2038:E2038"/>
    <mergeCell ref="A2042:E2042"/>
    <mergeCell ref="A2043:E2043"/>
    <mergeCell ref="A1912:E1912"/>
    <mergeCell ref="A1913:E1913"/>
    <mergeCell ref="A1914:E1914"/>
    <mergeCell ref="C1916:E1916"/>
    <mergeCell ref="B1973:E1973"/>
    <mergeCell ref="A1977:E1977"/>
    <mergeCell ref="C2111:E2111"/>
    <mergeCell ref="B2168:E2168"/>
    <mergeCell ref="A2172:E2172"/>
    <mergeCell ref="A2173:E2173"/>
    <mergeCell ref="A2174:E2174"/>
    <mergeCell ref="C2176:E2176"/>
    <mergeCell ref="A2044:E2044"/>
    <mergeCell ref="C2046:E2046"/>
    <mergeCell ref="B2103:E2103"/>
    <mergeCell ref="A2107:E2107"/>
    <mergeCell ref="A2108:E2108"/>
    <mergeCell ref="A2109:E2109"/>
    <mergeCell ref="A2302:E2302"/>
    <mergeCell ref="A2303:E2303"/>
    <mergeCell ref="A2304:E2304"/>
    <mergeCell ref="C2306:E2306"/>
    <mergeCell ref="B2363:E2363"/>
    <mergeCell ref="A2367:E2367"/>
    <mergeCell ref="B2233:E2233"/>
    <mergeCell ref="A2237:E2237"/>
    <mergeCell ref="A2238:E2238"/>
    <mergeCell ref="A2239:E2239"/>
    <mergeCell ref="C2241:E2241"/>
    <mergeCell ref="B2298:E2298"/>
    <mergeCell ref="A2434:E2434"/>
    <mergeCell ref="C2436:E2436"/>
    <mergeCell ref="B2493:E2493"/>
    <mergeCell ref="A2497:E2497"/>
    <mergeCell ref="A2498:E2498"/>
    <mergeCell ref="A2499:E2499"/>
    <mergeCell ref="A2368:E2368"/>
    <mergeCell ref="A2369:E2369"/>
    <mergeCell ref="C2371:E2371"/>
    <mergeCell ref="B2428:E2428"/>
    <mergeCell ref="A2432:E2432"/>
    <mergeCell ref="A2433:E2433"/>
    <mergeCell ref="B2623:E2623"/>
    <mergeCell ref="A2627:E2627"/>
    <mergeCell ref="A2628:E2628"/>
    <mergeCell ref="A2629:E2629"/>
    <mergeCell ref="C2631:E2631"/>
    <mergeCell ref="B2688:E2688"/>
    <mergeCell ref="C2501:E2501"/>
    <mergeCell ref="B2558:E2558"/>
    <mergeCell ref="A2562:E2562"/>
    <mergeCell ref="A2563:E2563"/>
    <mergeCell ref="A2564:E2564"/>
    <mergeCell ref="C2566:E2566"/>
    <mergeCell ref="A2758:E2758"/>
    <mergeCell ref="A2759:E2759"/>
    <mergeCell ref="C2761:E2761"/>
    <mergeCell ref="B2818:E2818"/>
    <mergeCell ref="A2822:E2822"/>
    <mergeCell ref="A2823:E2823"/>
    <mergeCell ref="A2692:E2692"/>
    <mergeCell ref="A2693:E2693"/>
    <mergeCell ref="A2694:E2694"/>
    <mergeCell ref="C2696:E2696"/>
    <mergeCell ref="B2753:E2753"/>
    <mergeCell ref="A2757:E2757"/>
    <mergeCell ref="C2891:E2891"/>
    <mergeCell ref="B2948:E2948"/>
    <mergeCell ref="A2952:E2952"/>
    <mergeCell ref="A2953:E2953"/>
    <mergeCell ref="A2954:E2954"/>
    <mergeCell ref="C2956:E2956"/>
    <mergeCell ref="A2824:E2824"/>
    <mergeCell ref="C2826:E2826"/>
    <mergeCell ref="B2883:E2883"/>
    <mergeCell ref="A2887:E2887"/>
    <mergeCell ref="A2888:E2888"/>
    <mergeCell ref="A2889:E2889"/>
    <mergeCell ref="A3082:E3082"/>
    <mergeCell ref="A3083:E3083"/>
    <mergeCell ref="A3084:E3084"/>
    <mergeCell ref="C3086:E3086"/>
    <mergeCell ref="B3143:E3143"/>
    <mergeCell ref="A3147:E3147"/>
    <mergeCell ref="B3013:E3013"/>
    <mergeCell ref="A3017:E3017"/>
    <mergeCell ref="A3018:E3018"/>
    <mergeCell ref="A3019:E3019"/>
    <mergeCell ref="C3021:E3021"/>
    <mergeCell ref="B3078:E3078"/>
    <mergeCell ref="A3214:E3214"/>
    <mergeCell ref="C3216:E3216"/>
    <mergeCell ref="B3273:E3273"/>
    <mergeCell ref="A3277:E3277"/>
    <mergeCell ref="A3278:E3278"/>
    <mergeCell ref="A3279:E3279"/>
    <mergeCell ref="A3148:E3148"/>
    <mergeCell ref="A3149:E3149"/>
    <mergeCell ref="C3151:E3151"/>
    <mergeCell ref="B3208:E3208"/>
    <mergeCell ref="A3212:E3212"/>
    <mergeCell ref="A3213:E3213"/>
    <mergeCell ref="B3403:E3403"/>
    <mergeCell ref="A3407:E3407"/>
    <mergeCell ref="A3408:E3408"/>
    <mergeCell ref="A3409:E3409"/>
    <mergeCell ref="C3411:E3411"/>
    <mergeCell ref="B3468:E3468"/>
    <mergeCell ref="C3281:E3281"/>
    <mergeCell ref="B3338:E3338"/>
    <mergeCell ref="A3342:E3342"/>
    <mergeCell ref="A3343:E3343"/>
    <mergeCell ref="A3344:E3344"/>
    <mergeCell ref="C3346:E3346"/>
    <mergeCell ref="A3538:E3538"/>
    <mergeCell ref="A3539:E3539"/>
    <mergeCell ref="C3541:E3541"/>
    <mergeCell ref="B3598:E3598"/>
    <mergeCell ref="A3602:E3602"/>
    <mergeCell ref="A3603:E3603"/>
    <mergeCell ref="A3472:E3472"/>
    <mergeCell ref="A3473:E3473"/>
    <mergeCell ref="A3474:E3474"/>
    <mergeCell ref="C3476:E3476"/>
    <mergeCell ref="B3533:E3533"/>
    <mergeCell ref="A3537:E3537"/>
    <mergeCell ref="A3732:E3732"/>
    <mergeCell ref="A3733:E3733"/>
    <mergeCell ref="A3734:E3734"/>
    <mergeCell ref="C3736:E3736"/>
    <mergeCell ref="B3793:E3793"/>
    <mergeCell ref="A3797:E3797"/>
    <mergeCell ref="A3604:E3604"/>
    <mergeCell ref="C3606:E3606"/>
    <mergeCell ref="B3663:E3663"/>
    <mergeCell ref="A3667:E3667"/>
    <mergeCell ref="A3668:E3668"/>
    <mergeCell ref="A3669:E3669"/>
    <mergeCell ref="C3671:E3671"/>
    <mergeCell ref="B3728:E3728"/>
    <mergeCell ref="A3928:E3928"/>
    <mergeCell ref="C3866:E3866"/>
    <mergeCell ref="B3923:E3923"/>
    <mergeCell ref="A3929:E3929"/>
    <mergeCell ref="C3931:E3931"/>
    <mergeCell ref="A3993:E3993"/>
    <mergeCell ref="A3798:E3798"/>
    <mergeCell ref="B3858:E3858"/>
    <mergeCell ref="A3862:E3862"/>
    <mergeCell ref="A3863:E3863"/>
    <mergeCell ref="A3864:E3864"/>
    <mergeCell ref="A3927:E3927"/>
    <mergeCell ref="A3799:E3799"/>
    <mergeCell ref="C3801:E3801"/>
    <mergeCell ref="C4060:E4060"/>
    <mergeCell ref="A4056:E4056"/>
    <mergeCell ref="A4057:E4057"/>
    <mergeCell ref="B4117:E4117"/>
    <mergeCell ref="A4121:E4121"/>
    <mergeCell ref="C4125:E4125"/>
    <mergeCell ref="A3994:E3994"/>
    <mergeCell ref="B3988:E3988"/>
    <mergeCell ref="A3992:E3992"/>
    <mergeCell ref="C3996:E3996"/>
    <mergeCell ref="B4052:E4052"/>
    <mergeCell ref="A4058:E4058"/>
    <mergeCell ref="A4251:E4251"/>
    <mergeCell ref="A4188:E4188"/>
    <mergeCell ref="C4190:E4190"/>
    <mergeCell ref="A4252:E4252"/>
    <mergeCell ref="A4253:E4253"/>
    <mergeCell ref="A4316:E4316"/>
    <mergeCell ref="B4182:E4182"/>
    <mergeCell ref="A4122:E4122"/>
    <mergeCell ref="A4123:E4123"/>
    <mergeCell ref="A4186:E4186"/>
    <mergeCell ref="A4187:E4187"/>
    <mergeCell ref="B4247:E4247"/>
    <mergeCell ref="A4383:E4383"/>
    <mergeCell ref="B4377:E4377"/>
    <mergeCell ref="A4381:E4381"/>
    <mergeCell ref="C4385:E4385"/>
    <mergeCell ref="B4442:E4442"/>
    <mergeCell ref="A4448:E4448"/>
    <mergeCell ref="A4317:E4317"/>
    <mergeCell ref="C4255:E4255"/>
    <mergeCell ref="B4312:E4312"/>
    <mergeCell ref="A4318:E4318"/>
    <mergeCell ref="C4320:E4320"/>
    <mergeCell ref="A4382:E4382"/>
    <mergeCell ref="B4572:E4572"/>
    <mergeCell ref="A4512:E4512"/>
    <mergeCell ref="A4513:E4513"/>
    <mergeCell ref="A4576:E4576"/>
    <mergeCell ref="A4577:E4577"/>
    <mergeCell ref="B4637:E4637"/>
    <mergeCell ref="C4450:E4450"/>
    <mergeCell ref="A4446:E4446"/>
    <mergeCell ref="A4447:E4447"/>
    <mergeCell ref="B4507:E4507"/>
    <mergeCell ref="A4511:E4511"/>
    <mergeCell ref="C4515:E4515"/>
    <mergeCell ref="A4707:E4707"/>
    <mergeCell ref="A4641:E4641"/>
    <mergeCell ref="A4578:E4578"/>
    <mergeCell ref="C4580:E4580"/>
    <mergeCell ref="A4708:E4708"/>
    <mergeCell ref="C4710:E4710"/>
    <mergeCell ref="A4642:E4642"/>
    <mergeCell ref="A4643:E4643"/>
    <mergeCell ref="C4645:E4645"/>
    <mergeCell ref="B4702:E4702"/>
    <mergeCell ref="A4706:E4706"/>
  </mergeCells>
  <phoneticPr fontId="7" type="noConversion"/>
  <pageMargins left="0.63" right="0.15748031496062992" top="0.23622047244094491" bottom="0.19685039370078741" header="0.15748031496062992" footer="0.15748031496062992"/>
  <pageSetup paperSize="9" scale="95" orientation="portrait" r:id="rId1"/>
  <rowBreaks count="70" manualBreakCount="70">
    <brk id="282" max="16383" man="1"/>
    <brk id="347" max="16383" man="1"/>
    <brk id="410" max="16383" man="1"/>
    <brk id="475" max="16383" man="1"/>
    <brk id="540" max="16383" man="1"/>
    <brk id="605" max="16383" man="1"/>
    <brk id="670" max="16383" man="1"/>
    <brk id="735" max="16383" man="1"/>
    <brk id="800" max="16383" man="1"/>
    <brk id="865" max="16383" man="1"/>
    <brk id="930" max="16383" man="1"/>
    <brk id="995" max="16383" man="1"/>
    <brk id="1060" max="16383" man="1"/>
    <brk id="1061" max="16383" man="1"/>
    <brk id="1126" max="16383" man="1"/>
    <brk id="1191" max="16383" man="1"/>
    <brk id="1256" max="16383" man="1"/>
    <brk id="1321" max="16383" man="1"/>
    <brk id="1386" max="16383" man="1"/>
    <brk id="1451" max="16383" man="1"/>
    <brk id="1516" max="16383" man="1"/>
    <brk id="1581" max="16383" man="1"/>
    <brk id="1646" max="16383" man="1"/>
    <brk id="1711" max="16383" man="1"/>
    <brk id="1776" max="16383" man="1"/>
    <brk id="1841" max="16383" man="1"/>
    <brk id="1906" max="16383" man="1"/>
    <brk id="1971" max="16383" man="1"/>
    <brk id="2036" max="16383" man="1"/>
    <brk id="2101" max="16383" man="1"/>
    <brk id="2166" max="16383" man="1"/>
    <brk id="2231" max="16383" man="1"/>
    <brk id="2296" max="16383" man="1"/>
    <brk id="2361" max="16383" man="1"/>
    <brk id="2426" max="16383" man="1"/>
    <brk id="2491" max="16383" man="1"/>
    <brk id="2556" max="16383" man="1"/>
    <brk id="2621" max="16383" man="1"/>
    <brk id="2686" max="16383" man="1"/>
    <brk id="2751" max="16383" man="1"/>
    <brk id="2816" max="16383" man="1"/>
    <brk id="2881" max="16383" man="1"/>
    <brk id="2946" max="16383" man="1"/>
    <brk id="3011" max="16383" man="1"/>
    <brk id="3076" max="16383" man="1"/>
    <brk id="3141" max="16383" man="1"/>
    <brk id="3206" max="16383" man="1"/>
    <brk id="3271" max="16383" man="1"/>
    <brk id="3336" max="16383" man="1"/>
    <brk id="3401" max="16383" man="1"/>
    <brk id="3466" max="16383" man="1"/>
    <brk id="3531" max="16383" man="1"/>
    <brk id="3596" max="16383" man="1"/>
    <brk id="3661" max="16383" man="1"/>
    <brk id="3726" max="16383" man="1"/>
    <brk id="3791" max="16383" man="1"/>
    <brk id="3856" max="16383" man="1"/>
    <brk id="3921" max="16383" man="1"/>
    <brk id="3986" max="16383" man="1"/>
    <brk id="4050" max="16383" man="1"/>
    <brk id="4115" max="16383" man="1"/>
    <brk id="4180" max="16383" man="1"/>
    <brk id="4245" max="16383" man="1"/>
    <brk id="4310" max="16383" man="1"/>
    <brk id="4375" max="16383" man="1"/>
    <brk id="4440" max="16383" man="1"/>
    <brk id="4505" max="16383" man="1"/>
    <brk id="4570" max="16383" man="1"/>
    <brk id="4635" max="16383" man="1"/>
    <brk id="47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Сметы с 01.01.2019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Acer</cp:lastModifiedBy>
  <cp:lastPrinted>2019-02-13T13:25:05Z</cp:lastPrinted>
  <dcterms:created xsi:type="dcterms:W3CDTF">2015-02-26T12:01:09Z</dcterms:created>
  <dcterms:modified xsi:type="dcterms:W3CDTF">2019-03-19T14:57:33Z</dcterms:modified>
</cp:coreProperties>
</file>